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I:\DATA\Finance4\MARIELLE CURRENT 2015\Budget 2025-2026\"/>
    </mc:Choice>
  </mc:AlternateContent>
  <xr:revisionPtr revIDLastSave="0" documentId="8_{DB8AF5B4-CA54-4481-8135-DB98957A4EE1}" xr6:coauthVersionLast="47" xr6:coauthVersionMax="47" xr10:uidLastSave="{00000000-0000-0000-0000-000000000000}"/>
  <bookViews>
    <workbookView xWindow="6945" yWindow="2115" windowWidth="21600" windowHeight="11385" tabRatio="787" xr2:uid="{00000000-000D-0000-FFFF-FFFF00000000}"/>
  </bookViews>
  <sheets>
    <sheet name="5 YR FP - NATURE" sheetId="4" r:id="rId1"/>
    <sheet name="5 YR FP - DEPT" sheetId="39" r:id="rId2"/>
    <sheet name="2025-26 Annual Budget" sheetId="7" r:id="rId3"/>
    <sheet name="5Y - ISC agreement follow" sheetId="45" r:id="rId4"/>
    <sheet name="Budget adjustments" sheetId="41" r:id="rId5"/>
    <sheet name="Écarts budget vs Entente 25-26" sheetId="44" r:id="rId6"/>
    <sheet name="Écarts budget vs Entente 24-25" sheetId="43" r:id="rId7"/>
    <sheet name="Écarts budget vs Entente 23-24" sheetId="42" r:id="rId8"/>
  </sheets>
  <externalReferences>
    <externalReference r:id="rId9"/>
  </externalReferences>
  <definedNames>
    <definedName name="_xlnm._FilterDatabase" localSheetId="6" hidden="1">'Écarts budget vs Entente 24-25'!$B$3:$J$63</definedName>
    <definedName name="_xlnm._FilterDatabase" localSheetId="5" hidden="1">'Écarts budget vs Entente 25-26'!$B$3:$J$67</definedName>
    <definedName name="_Order1" hidden="1">0</definedName>
    <definedName name="DATA_05" localSheetId="2" hidden="1">'[1]Cap Reserve 2012'!#REF!</definedName>
    <definedName name="DATA_05" hidden="1">'[1]Cap Reserve 2012'!#REF!</definedName>
    <definedName name="DATA_07" localSheetId="2" hidden="1">'[1]Cap Reserve 2012'!#REF!</definedName>
    <definedName name="DATA_07" hidden="1">'[1]Cap Reserve 2012'!#REF!</definedName>
    <definedName name="DATA_08" localSheetId="2" hidden="1">'[1]Cap Reserve 2012'!#REF!</definedName>
    <definedName name="DATA_08" hidden="1">'[1]Cap Reserve 2012'!#REF!</definedName>
    <definedName name="IntroPrintArea" localSheetId="2" hidden="1">#REF!</definedName>
    <definedName name="IntroPrintArea" hidden="1">#REF!</definedName>
    <definedName name="Look1Area" localSheetId="2">#REF!</definedName>
    <definedName name="Look1Area">#REF!</definedName>
    <definedName name="Look2Area" localSheetId="2">#REF!</definedName>
    <definedName name="Look2Area">#REF!</definedName>
    <definedName name="Look3Area" localSheetId="2">#REF!</definedName>
    <definedName name="Look3Area">#REF!</definedName>
    <definedName name="Look4Area" localSheetId="2">#REF!</definedName>
    <definedName name="Look4Area">#REF!</definedName>
    <definedName name="Look5Area" localSheetId="2">#REF!</definedName>
    <definedName name="Look5Area">#REF!</definedName>
    <definedName name="_xlnm.Print_Area" localSheetId="2">'2025-26 Annual Budget'!$B$1:$P$102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6" i="39" l="1"/>
  <c r="E96" i="39"/>
  <c r="F96" i="39"/>
  <c r="G96" i="39"/>
  <c r="C96" i="39"/>
  <c r="G92" i="4"/>
  <c r="F92" i="4"/>
  <c r="E92" i="4"/>
  <c r="D92" i="4"/>
  <c r="C92" i="4"/>
  <c r="H82" i="4"/>
  <c r="H81" i="4"/>
  <c r="H80" i="4"/>
  <c r="Q75" i="7"/>
  <c r="G41" i="44"/>
  <c r="B93" i="45"/>
  <c r="B21" i="45" s="1"/>
  <c r="B109" i="45"/>
  <c r="B24" i="45" s="1"/>
  <c r="C108" i="45"/>
  <c r="D108" i="45" s="1"/>
  <c r="E108" i="45" s="1"/>
  <c r="F108" i="45" s="1"/>
  <c r="C107" i="45"/>
  <c r="B104" i="45"/>
  <c r="B23" i="45" s="1"/>
  <c r="C103" i="45"/>
  <c r="D103" i="45" s="1"/>
  <c r="E103" i="45" s="1"/>
  <c r="F103" i="45" s="1"/>
  <c r="C102" i="45"/>
  <c r="D102" i="45" s="1"/>
  <c r="B99" i="45"/>
  <c r="B22" i="45" s="1"/>
  <c r="C98" i="45"/>
  <c r="D98" i="45" s="1"/>
  <c r="E98" i="45" s="1"/>
  <c r="F98" i="45" s="1"/>
  <c r="C97" i="45"/>
  <c r="C91" i="45"/>
  <c r="D91" i="45" s="1"/>
  <c r="B87" i="45"/>
  <c r="B20" i="45" s="1"/>
  <c r="C86" i="45"/>
  <c r="D86" i="45" s="1"/>
  <c r="E86" i="45" s="1"/>
  <c r="F86" i="45" s="1"/>
  <c r="C85" i="45"/>
  <c r="B82" i="45"/>
  <c r="B18" i="45" s="1"/>
  <c r="C81" i="45"/>
  <c r="D81" i="45" s="1"/>
  <c r="E81" i="45" s="1"/>
  <c r="F81" i="45" s="1"/>
  <c r="C80" i="45"/>
  <c r="D80" i="45" s="1"/>
  <c r="B76" i="45"/>
  <c r="B19" i="45" s="1"/>
  <c r="C75" i="45"/>
  <c r="D75" i="45" s="1"/>
  <c r="E75" i="45" s="1"/>
  <c r="F75" i="45" s="1"/>
  <c r="C74" i="45"/>
  <c r="B70" i="45"/>
  <c r="B17" i="45" s="1"/>
  <c r="C69" i="45"/>
  <c r="D69" i="45" s="1"/>
  <c r="E69" i="45" s="1"/>
  <c r="F69" i="45" s="1"/>
  <c r="C68" i="45"/>
  <c r="B65" i="45"/>
  <c r="B16" i="45" s="1"/>
  <c r="C64" i="45"/>
  <c r="D64" i="45" s="1"/>
  <c r="E64" i="45" s="1"/>
  <c r="F64" i="45" s="1"/>
  <c r="C63" i="45"/>
  <c r="D63" i="45" s="1"/>
  <c r="B60" i="45"/>
  <c r="B15" i="45" s="1"/>
  <c r="C58" i="45"/>
  <c r="C60" i="45" s="1"/>
  <c r="C15" i="45" s="1"/>
  <c r="B55" i="45"/>
  <c r="B14" i="45" s="1"/>
  <c r="C54" i="45"/>
  <c r="D54" i="45" s="1"/>
  <c r="E54" i="45" s="1"/>
  <c r="F54" i="45" s="1"/>
  <c r="C53" i="45"/>
  <c r="B51" i="45"/>
  <c r="C50" i="45"/>
  <c r="D50" i="45" s="1"/>
  <c r="E50" i="45" s="1"/>
  <c r="F50" i="45" s="1"/>
  <c r="C49" i="45"/>
  <c r="B46" i="45"/>
  <c r="B13" i="45" s="1"/>
  <c r="D45" i="45"/>
  <c r="E45" i="45" s="1"/>
  <c r="F45" i="45" s="1"/>
  <c r="C44" i="45"/>
  <c r="C46" i="45" s="1"/>
  <c r="C13" i="45" s="1"/>
  <c r="F28" i="45"/>
  <c r="E28" i="45"/>
  <c r="D28" i="45"/>
  <c r="C28" i="45"/>
  <c r="B28" i="45"/>
  <c r="C10" i="45"/>
  <c r="D10" i="45" s="1"/>
  <c r="E10" i="45" s="1"/>
  <c r="E5" i="45"/>
  <c r="E4" i="45"/>
  <c r="A1" i="45"/>
  <c r="C92" i="45" l="1"/>
  <c r="D92" i="45" s="1"/>
  <c r="E92" i="45" s="1"/>
  <c r="F92" i="45" s="1"/>
  <c r="C51" i="45"/>
  <c r="D65" i="45"/>
  <c r="D16" i="45" s="1"/>
  <c r="D82" i="45"/>
  <c r="D18" i="45" s="1"/>
  <c r="C99" i="45"/>
  <c r="C22" i="45" s="1"/>
  <c r="D104" i="45"/>
  <c r="D23" i="45" s="1"/>
  <c r="C87" i="45"/>
  <c r="C20" i="45" s="1"/>
  <c r="C70" i="45"/>
  <c r="C17" i="45" s="1"/>
  <c r="C104" i="45"/>
  <c r="C23" i="45" s="1"/>
  <c r="C25" i="45"/>
  <c r="C65" i="45"/>
  <c r="C16" i="45" s="1"/>
  <c r="C82" i="45"/>
  <c r="C18" i="45" s="1"/>
  <c r="D25" i="45"/>
  <c r="B26" i="45"/>
  <c r="B34" i="45" s="1"/>
  <c r="C76" i="45"/>
  <c r="C19" i="45" s="1"/>
  <c r="C109" i="45"/>
  <c r="C24" i="45" s="1"/>
  <c r="C55" i="45"/>
  <c r="C14" i="45" s="1"/>
  <c r="F10" i="45"/>
  <c r="E25" i="45"/>
  <c r="D58" i="45"/>
  <c r="E91" i="45"/>
  <c r="D107" i="45"/>
  <c r="D44" i="45"/>
  <c r="E63" i="45"/>
  <c r="D85" i="45"/>
  <c r="D53" i="45"/>
  <c r="D74" i="45"/>
  <c r="E102" i="45"/>
  <c r="D49" i="45"/>
  <c r="D68" i="45"/>
  <c r="E80" i="45"/>
  <c r="D97" i="45"/>
  <c r="C93" i="45" l="1"/>
  <c r="C21" i="45" s="1"/>
  <c r="C26" i="45" s="1"/>
  <c r="C34" i="45" s="1"/>
  <c r="D93" i="45"/>
  <c r="D21" i="45" s="1"/>
  <c r="D109" i="45"/>
  <c r="D24" i="45" s="1"/>
  <c r="E107" i="45"/>
  <c r="D55" i="45"/>
  <c r="D14" i="45" s="1"/>
  <c r="E53" i="45"/>
  <c r="E82" i="45"/>
  <c r="E18" i="45" s="1"/>
  <c r="F80" i="45"/>
  <c r="F82" i="45" s="1"/>
  <c r="F18" i="45" s="1"/>
  <c r="D76" i="45"/>
  <c r="D19" i="45" s="1"/>
  <c r="E74" i="45"/>
  <c r="D70" i="45"/>
  <c r="D17" i="45" s="1"/>
  <c r="E68" i="45"/>
  <c r="E49" i="45"/>
  <c r="D51" i="45"/>
  <c r="E104" i="45"/>
  <c r="E23" i="45" s="1"/>
  <c r="F102" i="45"/>
  <c r="F104" i="45" s="1"/>
  <c r="F23" i="45" s="1"/>
  <c r="D60" i="45"/>
  <c r="D15" i="45" s="1"/>
  <c r="E58" i="45"/>
  <c r="D87" i="45"/>
  <c r="D20" i="45" s="1"/>
  <c r="E85" i="45"/>
  <c r="E44" i="45"/>
  <c r="D46" i="45"/>
  <c r="D13" i="45" s="1"/>
  <c r="E93" i="45"/>
  <c r="E21" i="45" s="1"/>
  <c r="F91" i="45"/>
  <c r="F93" i="45" s="1"/>
  <c r="F21" i="45" s="1"/>
  <c r="D99" i="45"/>
  <c r="D22" i="45" s="1"/>
  <c r="E97" i="45"/>
  <c r="E65" i="45"/>
  <c r="E16" i="45" s="1"/>
  <c r="F63" i="45"/>
  <c r="F65" i="45" s="1"/>
  <c r="F16" i="45" s="1"/>
  <c r="F25" i="45"/>
  <c r="E87" i="45" l="1"/>
  <c r="E20" i="45" s="1"/>
  <c r="F85" i="45"/>
  <c r="F87" i="45" s="1"/>
  <c r="F20" i="45" s="1"/>
  <c r="E99" i="45"/>
  <c r="E22" i="45" s="1"/>
  <c r="F97" i="45"/>
  <c r="F99" i="45" s="1"/>
  <c r="F22" i="45" s="1"/>
  <c r="E55" i="45"/>
  <c r="E14" i="45" s="1"/>
  <c r="F53" i="45"/>
  <c r="F55" i="45" s="1"/>
  <c r="F14" i="45" s="1"/>
  <c r="E51" i="45"/>
  <c r="F49" i="45"/>
  <c r="F51" i="45" s="1"/>
  <c r="D26" i="45"/>
  <c r="D34" i="45" s="1"/>
  <c r="E60" i="45"/>
  <c r="E15" i="45" s="1"/>
  <c r="F58" i="45"/>
  <c r="F60" i="45" s="1"/>
  <c r="F15" i="45" s="1"/>
  <c r="E70" i="45"/>
  <c r="E17" i="45" s="1"/>
  <c r="F68" i="45"/>
  <c r="F70" i="45" s="1"/>
  <c r="F17" i="45" s="1"/>
  <c r="E109" i="45"/>
  <c r="E24" i="45" s="1"/>
  <c r="F107" i="45"/>
  <c r="F109" i="45" s="1"/>
  <c r="F24" i="45" s="1"/>
  <c r="E76" i="45"/>
  <c r="E19" i="45" s="1"/>
  <c r="F74" i="45"/>
  <c r="F76" i="45" s="1"/>
  <c r="F19" i="45" s="1"/>
  <c r="F44" i="45"/>
  <c r="F46" i="45" s="1"/>
  <c r="F13" i="45" s="1"/>
  <c r="E46" i="45"/>
  <c r="E13" i="45" s="1"/>
  <c r="E26" i="45" l="1"/>
  <c r="E34" i="45" s="1"/>
  <c r="F26" i="45"/>
  <c r="F34" i="45" s="1"/>
  <c r="B34" i="39" l="1"/>
  <c r="B35" i="39"/>
  <c r="H65" i="44"/>
  <c r="H66" i="44"/>
  <c r="H20" i="44"/>
  <c r="H21" i="44"/>
  <c r="H22" i="44"/>
  <c r="K22" i="44"/>
  <c r="H45" i="44"/>
  <c r="H31" i="44"/>
  <c r="H7" i="44"/>
  <c r="H8" i="44"/>
  <c r="G14" i="44"/>
  <c r="G43" i="44"/>
  <c r="G10" i="44"/>
  <c r="G15" i="44"/>
  <c r="G13" i="44"/>
  <c r="G11" i="44"/>
  <c r="G12" i="44"/>
  <c r="G37" i="44"/>
  <c r="G65" i="7"/>
  <c r="G67" i="7"/>
  <c r="G51" i="7"/>
  <c r="F68" i="44"/>
  <c r="M108" i="44" l="1"/>
  <c r="H67" i="44"/>
  <c r="H64" i="44"/>
  <c r="H63" i="44"/>
  <c r="H62" i="44"/>
  <c r="H61" i="44"/>
  <c r="H60" i="44"/>
  <c r="H59" i="44"/>
  <c r="H58" i="44"/>
  <c r="H57" i="44"/>
  <c r="H56" i="44"/>
  <c r="H55" i="44"/>
  <c r="H54" i="44"/>
  <c r="H53" i="44"/>
  <c r="H52" i="44"/>
  <c r="H51" i="44"/>
  <c r="H50" i="44"/>
  <c r="H49" i="44"/>
  <c r="H48" i="44"/>
  <c r="H47" i="44"/>
  <c r="H46" i="44"/>
  <c r="L44" i="44"/>
  <c r="H44" i="44"/>
  <c r="H43" i="44"/>
  <c r="H42" i="44"/>
  <c r="H41" i="44"/>
  <c r="H40" i="44"/>
  <c r="H39" i="44"/>
  <c r="H38" i="44"/>
  <c r="H37" i="44"/>
  <c r="H36" i="44"/>
  <c r="H35" i="44"/>
  <c r="H34" i="44"/>
  <c r="H33" i="44"/>
  <c r="H32" i="44"/>
  <c r="H30" i="44"/>
  <c r="H29" i="44"/>
  <c r="K28" i="44"/>
  <c r="H28" i="44"/>
  <c r="H27" i="44"/>
  <c r="H26" i="44"/>
  <c r="H25" i="44"/>
  <c r="H24" i="44"/>
  <c r="H23" i="44"/>
  <c r="H19" i="44"/>
  <c r="K18" i="44"/>
  <c r="H18" i="44"/>
  <c r="H17" i="44"/>
  <c r="H16" i="44"/>
  <c r="H15" i="44"/>
  <c r="K14" i="44"/>
  <c r="H14" i="44"/>
  <c r="G68" i="44"/>
  <c r="H12" i="44"/>
  <c r="H11" i="44"/>
  <c r="H10" i="44"/>
  <c r="K9" i="44"/>
  <c r="H9" i="44"/>
  <c r="H6" i="44"/>
  <c r="H5" i="44"/>
  <c r="H4" i="44"/>
  <c r="D22" i="4"/>
  <c r="E22" i="4" s="1"/>
  <c r="F22" i="4" s="1"/>
  <c r="G22" i="4" s="1"/>
  <c r="D23" i="4"/>
  <c r="E23" i="4" s="1"/>
  <c r="F23" i="4" s="1"/>
  <c r="G23" i="4" s="1"/>
  <c r="O30" i="7"/>
  <c r="O55" i="7"/>
  <c r="O38" i="7"/>
  <c r="O31" i="7"/>
  <c r="O10" i="7"/>
  <c r="N101" i="7"/>
  <c r="I49" i="7"/>
  <c r="G62" i="7"/>
  <c r="F65" i="7"/>
  <c r="F49" i="7"/>
  <c r="F63" i="7"/>
  <c r="F62" i="7"/>
  <c r="P23" i="7"/>
  <c r="P24" i="7"/>
  <c r="H46" i="43"/>
  <c r="H39" i="43"/>
  <c r="H33" i="43"/>
  <c r="H20" i="43"/>
  <c r="H16" i="43"/>
  <c r="K7" i="43"/>
  <c r="K12" i="43"/>
  <c r="K16" i="43"/>
  <c r="K20" i="43"/>
  <c r="K26" i="43"/>
  <c r="L41" i="43"/>
  <c r="C32" i="4"/>
  <c r="D32" i="4" s="1"/>
  <c r="E32" i="4" s="1"/>
  <c r="F32" i="4" s="1"/>
  <c r="G32" i="4" s="1"/>
  <c r="H13" i="44" l="1"/>
  <c r="H68" i="44" s="1"/>
  <c r="G28" i="43" l="1"/>
  <c r="M73" i="43"/>
  <c r="M92" i="43" s="1"/>
  <c r="M82" i="43"/>
  <c r="M71" i="43"/>
  <c r="F64" i="43" l="1"/>
  <c r="H63" i="43" l="1"/>
  <c r="H62" i="43"/>
  <c r="H61" i="43"/>
  <c r="H60" i="43"/>
  <c r="H59" i="43"/>
  <c r="H58" i="43"/>
  <c r="H57" i="43"/>
  <c r="H56" i="43"/>
  <c r="H55" i="43"/>
  <c r="H54" i="43"/>
  <c r="H53" i="43"/>
  <c r="H52" i="43"/>
  <c r="H51" i="43"/>
  <c r="G50" i="43"/>
  <c r="H50" i="43" s="1"/>
  <c r="H49" i="43"/>
  <c r="H48" i="43"/>
  <c r="H47" i="43"/>
  <c r="H45" i="43"/>
  <c r="H44" i="43"/>
  <c r="H43" i="43"/>
  <c r="H42" i="43"/>
  <c r="H41" i="43"/>
  <c r="H40" i="43"/>
  <c r="H38" i="43"/>
  <c r="H37" i="43"/>
  <c r="G36" i="43"/>
  <c r="H36" i="43" s="1"/>
  <c r="H35" i="43"/>
  <c r="H34" i="43"/>
  <c r="H32" i="43"/>
  <c r="H31" i="43"/>
  <c r="H30" i="43"/>
  <c r="H29" i="43"/>
  <c r="H28" i="43"/>
  <c r="H27" i="43"/>
  <c r="H26" i="43"/>
  <c r="H25" i="43"/>
  <c r="H24" i="43"/>
  <c r="G23" i="43"/>
  <c r="H23" i="43" s="1"/>
  <c r="H22" i="43"/>
  <c r="H21" i="43"/>
  <c r="H19" i="43"/>
  <c r="H18" i="43"/>
  <c r="H17" i="43"/>
  <c r="H15" i="43"/>
  <c r="H14" i="43"/>
  <c r="G13" i="43"/>
  <c r="H13" i="43" s="1"/>
  <c r="H12" i="43"/>
  <c r="G11" i="43"/>
  <c r="H10" i="43"/>
  <c r="H9" i="43"/>
  <c r="H8" i="43"/>
  <c r="H7" i="43"/>
  <c r="H6" i="43"/>
  <c r="H5" i="43"/>
  <c r="H4" i="43"/>
  <c r="H11" i="43" l="1"/>
  <c r="G64" i="43"/>
  <c r="G66" i="43" s="1"/>
  <c r="G68" i="43" s="1"/>
  <c r="C97" i="4" l="1"/>
  <c r="C55" i="4" l="1"/>
  <c r="D55" i="4" s="1"/>
  <c r="E55" i="4" s="1"/>
  <c r="F55" i="4" s="1"/>
  <c r="G55" i="4" s="1"/>
  <c r="C35" i="4" l="1"/>
  <c r="D35" i="4" s="1"/>
  <c r="E35" i="4" s="1"/>
  <c r="F35" i="4" s="1"/>
  <c r="G35" i="4" s="1"/>
  <c r="C10" i="4"/>
  <c r="D10" i="4" s="1"/>
  <c r="E10" i="4" s="1"/>
  <c r="F10" i="4" s="1"/>
  <c r="G10" i="4" s="1"/>
  <c r="P56" i="7"/>
  <c r="P36" i="7" l="1"/>
  <c r="N99" i="7" l="1"/>
  <c r="C150" i="39" s="1"/>
  <c r="D150" i="39" s="1"/>
  <c r="E150" i="39" s="1"/>
  <c r="F150" i="39" s="1"/>
  <c r="G150" i="39" s="1"/>
  <c r="N86" i="7"/>
  <c r="N75" i="7"/>
  <c r="C34" i="39" s="1"/>
  <c r="N27" i="7"/>
  <c r="C19" i="39" s="1"/>
  <c r="N77" i="7" l="1"/>
  <c r="F57" i="42" l="1"/>
  <c r="E11" i="42" l="1"/>
  <c r="F34" i="42"/>
  <c r="E33" i="42"/>
  <c r="E9" i="42"/>
  <c r="E10" i="42"/>
  <c r="E12" i="42"/>
  <c r="E21" i="42"/>
  <c r="E45" i="42"/>
  <c r="E13" i="42"/>
  <c r="E5" i="42"/>
  <c r="K66" i="42"/>
  <c r="K83" i="42" s="1"/>
  <c r="P51" i="7"/>
  <c r="C50" i="4" s="1"/>
  <c r="D50" i="4" s="1"/>
  <c r="E50" i="4" s="1"/>
  <c r="F50" i="4" s="1"/>
  <c r="G50" i="4" s="1"/>
  <c r="E59" i="42" l="1"/>
  <c r="F10" i="42"/>
  <c r="F12" i="42"/>
  <c r="F40" i="42"/>
  <c r="F22" i="42"/>
  <c r="F21" i="42"/>
  <c r="F6" i="42"/>
  <c r="F58" i="42"/>
  <c r="F56" i="42"/>
  <c r="F48" i="42"/>
  <c r="F49" i="42"/>
  <c r="F50" i="42"/>
  <c r="F51" i="42"/>
  <c r="F52" i="42"/>
  <c r="F53" i="42"/>
  <c r="F54" i="42"/>
  <c r="F55" i="42"/>
  <c r="F47" i="42"/>
  <c r="F46" i="42"/>
  <c r="F45" i="42"/>
  <c r="F44" i="42"/>
  <c r="F43" i="42"/>
  <c r="F42" i="42"/>
  <c r="F41" i="42"/>
  <c r="F39" i="42"/>
  <c r="F38" i="42"/>
  <c r="D33" i="42"/>
  <c r="F33" i="42" s="1"/>
  <c r="F37" i="42"/>
  <c r="F36" i="42"/>
  <c r="F25" i="42"/>
  <c r="F26" i="42"/>
  <c r="F27" i="42"/>
  <c r="F28" i="42"/>
  <c r="F29" i="42"/>
  <c r="F30" i="42"/>
  <c r="F31" i="42"/>
  <c r="F32" i="42"/>
  <c r="F35" i="42"/>
  <c r="F7" i="42"/>
  <c r="F8" i="42"/>
  <c r="F9" i="42"/>
  <c r="F11" i="42"/>
  <c r="F13" i="42"/>
  <c r="F14" i="42"/>
  <c r="F15" i="42"/>
  <c r="F16" i="42"/>
  <c r="F17" i="42"/>
  <c r="F18" i="42"/>
  <c r="F19" i="42"/>
  <c r="F20" i="42"/>
  <c r="F23" i="42"/>
  <c r="F24" i="42"/>
  <c r="F5" i="42"/>
  <c r="F4" i="42"/>
  <c r="C31" i="4" l="1"/>
  <c r="D31" i="4" s="1"/>
  <c r="E31" i="4" s="1"/>
  <c r="F31" i="4" s="1"/>
  <c r="G31" i="4" s="1"/>
  <c r="P15" i="7" l="1"/>
  <c r="P72" i="7" l="1"/>
  <c r="C71" i="4" s="1"/>
  <c r="D71" i="4" s="1"/>
  <c r="E71" i="4" s="1"/>
  <c r="F71" i="4" s="1"/>
  <c r="G71" i="4" s="1"/>
  <c r="P69" i="7"/>
  <c r="C68" i="4" s="1"/>
  <c r="D68" i="4" s="1"/>
  <c r="E68" i="4" s="1"/>
  <c r="F68" i="4" s="1"/>
  <c r="G68" i="4" s="1"/>
  <c r="P70" i="7"/>
  <c r="C69" i="4" s="1"/>
  <c r="D69" i="4" s="1"/>
  <c r="E69" i="4" s="1"/>
  <c r="F69" i="4" s="1"/>
  <c r="G69" i="4" s="1"/>
  <c r="P71" i="7"/>
  <c r="C70" i="4" s="1"/>
  <c r="D70" i="4" s="1"/>
  <c r="E70" i="4" s="1"/>
  <c r="F70" i="4" s="1"/>
  <c r="G70" i="4" s="1"/>
  <c r="P68" i="7"/>
  <c r="C67" i="4" s="1"/>
  <c r="D67" i="4" s="1"/>
  <c r="E67" i="4" s="1"/>
  <c r="F67" i="4" s="1"/>
  <c r="G67" i="4" s="1"/>
  <c r="P66" i="7"/>
  <c r="C65" i="4" s="1"/>
  <c r="D65" i="4" s="1"/>
  <c r="E65" i="4" s="1"/>
  <c r="F65" i="4" s="1"/>
  <c r="G65" i="4" s="1"/>
  <c r="P67" i="7"/>
  <c r="C66" i="4" s="1"/>
  <c r="D66" i="4" s="1"/>
  <c r="E66" i="4" s="1"/>
  <c r="F66" i="4" s="1"/>
  <c r="G66" i="4" s="1"/>
  <c r="P65" i="7"/>
  <c r="C64" i="4" s="1"/>
  <c r="D64" i="4" s="1"/>
  <c r="E64" i="4" s="1"/>
  <c r="F64" i="4" s="1"/>
  <c r="G64" i="4" s="1"/>
  <c r="P63" i="7"/>
  <c r="C62" i="4" s="1"/>
  <c r="D62" i="4" s="1"/>
  <c r="E62" i="4" s="1"/>
  <c r="F62" i="4" s="1"/>
  <c r="G62" i="4" s="1"/>
  <c r="P64" i="7"/>
  <c r="C63" i="4" s="1"/>
  <c r="D63" i="4" s="1"/>
  <c r="E63" i="4" s="1"/>
  <c r="F63" i="4" s="1"/>
  <c r="G63" i="4" s="1"/>
  <c r="P33" i="7"/>
  <c r="P34" i="7"/>
  <c r="P35" i="7"/>
  <c r="P37" i="7"/>
  <c r="P39" i="7"/>
  <c r="P40" i="7"/>
  <c r="P41" i="7"/>
  <c r="P43" i="7"/>
  <c r="P44" i="7"/>
  <c r="C75" i="39" s="1"/>
  <c r="P46" i="7"/>
  <c r="P48" i="7"/>
  <c r="P50" i="7"/>
  <c r="P54" i="7"/>
  <c r="P57" i="7"/>
  <c r="P58" i="7"/>
  <c r="P59" i="7"/>
  <c r="P60" i="7"/>
  <c r="C59" i="4" s="1"/>
  <c r="D59" i="4" s="1"/>
  <c r="E59" i="4" s="1"/>
  <c r="F59" i="4" s="1"/>
  <c r="G59" i="4" s="1"/>
  <c r="P61" i="7"/>
  <c r="C60" i="4" s="1"/>
  <c r="D60" i="4" s="1"/>
  <c r="E60" i="4" s="1"/>
  <c r="F60" i="4" s="1"/>
  <c r="G60" i="4" s="1"/>
  <c r="P62" i="7"/>
  <c r="C61" i="4" s="1"/>
  <c r="D61" i="4" s="1"/>
  <c r="E61" i="4" s="1"/>
  <c r="F61" i="4" s="1"/>
  <c r="G61" i="4" s="1"/>
  <c r="P55" i="7" l="1"/>
  <c r="P53" i="7" l="1"/>
  <c r="P52" i="7"/>
  <c r="G75" i="7" l="1"/>
  <c r="C27" i="39" s="1"/>
  <c r="P47" i="7"/>
  <c r="P45" i="7"/>
  <c r="P42" i="7"/>
  <c r="P49" i="7" l="1"/>
  <c r="F75" i="7"/>
  <c r="C26" i="39" s="1"/>
  <c r="P38" i="7"/>
  <c r="O75" i="7" l="1"/>
  <c r="D141" i="39" l="1"/>
  <c r="E141" i="39" s="1"/>
  <c r="F141" i="39" s="1"/>
  <c r="G141" i="39" s="1"/>
  <c r="P81" i="7" l="1"/>
  <c r="C85" i="4" s="1"/>
  <c r="D85" i="4" s="1"/>
  <c r="E85" i="4" s="1"/>
  <c r="F85" i="4" s="1"/>
  <c r="G85" i="4" s="1"/>
  <c r="P83" i="7"/>
  <c r="P82" i="7"/>
  <c r="C86" i="4" s="1"/>
  <c r="D86" i="4" s="1"/>
  <c r="E86" i="4" s="1"/>
  <c r="F86" i="4" s="1"/>
  <c r="G86" i="4" s="1"/>
  <c r="C87" i="4" l="1"/>
  <c r="D87" i="4" s="1"/>
  <c r="E87" i="4" s="1"/>
  <c r="F87" i="4" s="1"/>
  <c r="G87" i="4" s="1"/>
  <c r="C56" i="4"/>
  <c r="D56" i="4" s="1"/>
  <c r="E56" i="4" s="1"/>
  <c r="F56" i="4" s="1"/>
  <c r="G56" i="4" s="1"/>
  <c r="C13" i="4"/>
  <c r="D13" i="4" s="1"/>
  <c r="E13" i="4" s="1"/>
  <c r="F13" i="4" s="1"/>
  <c r="G13" i="4" s="1"/>
  <c r="M99" i="7"/>
  <c r="M86" i="7"/>
  <c r="M75" i="7"/>
  <c r="C33" i="39" s="1"/>
  <c r="M27" i="7" l="1"/>
  <c r="C18" i="39" s="1"/>
  <c r="C145" i="39" s="1"/>
  <c r="C147" i="39" s="1"/>
  <c r="M77" i="7" l="1"/>
  <c r="M101" i="7" s="1"/>
  <c r="P13" i="7" l="1"/>
  <c r="C4" i="39" l="1"/>
  <c r="D19" i="39" l="1"/>
  <c r="D34" i="39"/>
  <c r="E34" i="39" s="1"/>
  <c r="F34" i="39" s="1"/>
  <c r="G34" i="39" s="1"/>
  <c r="D71" i="39"/>
  <c r="E71" i="39" s="1"/>
  <c r="F71" i="39" s="1"/>
  <c r="G71" i="39" s="1"/>
  <c r="D70" i="39"/>
  <c r="E70" i="39" s="1"/>
  <c r="F70" i="39" s="1"/>
  <c r="G70" i="39" s="1"/>
  <c r="D18" i="39"/>
  <c r="D33" i="39"/>
  <c r="E33" i="39" s="1"/>
  <c r="F33" i="39" s="1"/>
  <c r="G33" i="39" s="1"/>
  <c r="D78" i="39"/>
  <c r="E78" i="39" s="1"/>
  <c r="F78" i="39" s="1"/>
  <c r="G78" i="39" s="1"/>
  <c r="D75" i="39"/>
  <c r="E75" i="39" s="1"/>
  <c r="D72" i="39"/>
  <c r="E72" i="39" s="1"/>
  <c r="F72" i="39" s="1"/>
  <c r="G72" i="39" s="1"/>
  <c r="C101" i="39"/>
  <c r="C54" i="4"/>
  <c r="D54" i="4" s="1"/>
  <c r="E54" i="4" s="1"/>
  <c r="F54" i="4" s="1"/>
  <c r="G54" i="4" s="1"/>
  <c r="C37" i="4"/>
  <c r="P30" i="7"/>
  <c r="C25" i="4"/>
  <c r="D25" i="4" s="1"/>
  <c r="E25" i="4" s="1"/>
  <c r="F25" i="4" s="1"/>
  <c r="G25" i="4" s="1"/>
  <c r="P9" i="7"/>
  <c r="P90" i="7"/>
  <c r="P91" i="7"/>
  <c r="P92" i="7"/>
  <c r="P93" i="7"/>
  <c r="P94" i="7"/>
  <c r="P95" i="7"/>
  <c r="P96" i="7"/>
  <c r="P97" i="7"/>
  <c r="P98" i="7"/>
  <c r="P89" i="7"/>
  <c r="P84" i="7"/>
  <c r="C88" i="4" s="1"/>
  <c r="P85" i="7"/>
  <c r="C89" i="4" s="1"/>
  <c r="P80" i="7"/>
  <c r="C84" i="4" s="1"/>
  <c r="P73" i="7"/>
  <c r="P74" i="7"/>
  <c r="P31" i="7"/>
  <c r="P32" i="7"/>
  <c r="P10" i="7"/>
  <c r="P11" i="7"/>
  <c r="P12" i="7"/>
  <c r="P14" i="7"/>
  <c r="P16" i="7"/>
  <c r="P17" i="7"/>
  <c r="P18" i="7"/>
  <c r="P19" i="7"/>
  <c r="P20" i="7"/>
  <c r="P21" i="7"/>
  <c r="P22" i="7"/>
  <c r="P25" i="7"/>
  <c r="C30" i="4"/>
  <c r="D30" i="4" s="1"/>
  <c r="C33" i="4"/>
  <c r="D33" i="4" s="1"/>
  <c r="E33" i="4" s="1"/>
  <c r="F33" i="4" s="1"/>
  <c r="G33" i="4" s="1"/>
  <c r="C34" i="4"/>
  <c r="D34" i="4" s="1"/>
  <c r="E34" i="4" s="1"/>
  <c r="F34" i="4" s="1"/>
  <c r="G34" i="4" s="1"/>
  <c r="C36" i="4"/>
  <c r="D36" i="4" s="1"/>
  <c r="E36" i="4" s="1"/>
  <c r="F36" i="4" s="1"/>
  <c r="G36" i="4" s="1"/>
  <c r="C38" i="4"/>
  <c r="D38" i="4" s="1"/>
  <c r="E38" i="4" s="1"/>
  <c r="F38" i="4" s="1"/>
  <c r="G38" i="4" s="1"/>
  <c r="C39" i="4"/>
  <c r="D39" i="4" s="1"/>
  <c r="E39" i="4" s="1"/>
  <c r="F39" i="4" s="1"/>
  <c r="G39" i="4" s="1"/>
  <c r="C40" i="4"/>
  <c r="D40" i="4" s="1"/>
  <c r="E40" i="4" s="1"/>
  <c r="F40" i="4" s="1"/>
  <c r="G40" i="4" s="1"/>
  <c r="C41" i="4"/>
  <c r="D41" i="4" s="1"/>
  <c r="E41" i="4" s="1"/>
  <c r="F41" i="4" s="1"/>
  <c r="G41" i="4" s="1"/>
  <c r="C42" i="4"/>
  <c r="D42" i="4" s="1"/>
  <c r="E42" i="4" s="1"/>
  <c r="F42" i="4" s="1"/>
  <c r="G42" i="4" s="1"/>
  <c r="C44" i="4"/>
  <c r="D44" i="4" s="1"/>
  <c r="E44" i="4" s="1"/>
  <c r="F44" i="4" s="1"/>
  <c r="G44" i="4" s="1"/>
  <c r="C45" i="4"/>
  <c r="D45" i="4" s="1"/>
  <c r="E45" i="4" s="1"/>
  <c r="F45" i="4" s="1"/>
  <c r="G45" i="4" s="1"/>
  <c r="C46" i="4"/>
  <c r="C47" i="4"/>
  <c r="D47" i="4" s="1"/>
  <c r="E47" i="4" s="1"/>
  <c r="F47" i="4" s="1"/>
  <c r="G47" i="4" s="1"/>
  <c r="C48" i="4"/>
  <c r="D48" i="4" s="1"/>
  <c r="E48" i="4" s="1"/>
  <c r="F48" i="4" s="1"/>
  <c r="G48" i="4" s="1"/>
  <c r="C49" i="4"/>
  <c r="D49" i="4" s="1"/>
  <c r="E49" i="4" s="1"/>
  <c r="F49" i="4" s="1"/>
  <c r="G49" i="4" s="1"/>
  <c r="C51" i="4"/>
  <c r="D51" i="4" s="1"/>
  <c r="E51" i="4" s="1"/>
  <c r="F51" i="4" s="1"/>
  <c r="G51" i="4" s="1"/>
  <c r="C52" i="4"/>
  <c r="D52" i="4" s="1"/>
  <c r="E52" i="4" s="1"/>
  <c r="F52" i="4" s="1"/>
  <c r="G52" i="4" s="1"/>
  <c r="C53" i="4"/>
  <c r="D53" i="4" s="1"/>
  <c r="E53" i="4" s="1"/>
  <c r="F53" i="4" s="1"/>
  <c r="G53" i="4" s="1"/>
  <c r="C57" i="4"/>
  <c r="D57" i="4" s="1"/>
  <c r="E57" i="4" s="1"/>
  <c r="F57" i="4" s="1"/>
  <c r="G57" i="4" s="1"/>
  <c r="C58" i="4"/>
  <c r="D58" i="4" s="1"/>
  <c r="E58" i="4" s="1"/>
  <c r="F58" i="4" s="1"/>
  <c r="G58" i="4" s="1"/>
  <c r="C72" i="4"/>
  <c r="D72" i="4" s="1"/>
  <c r="E72" i="4" s="1"/>
  <c r="C73" i="4"/>
  <c r="D73" i="4" s="1"/>
  <c r="E73" i="4" s="1"/>
  <c r="F73" i="4" s="1"/>
  <c r="G73" i="4" s="1"/>
  <c r="C16" i="4"/>
  <c r="D16" i="4" s="1"/>
  <c r="E16" i="4" s="1"/>
  <c r="F16" i="4" s="1"/>
  <c r="G16" i="4" s="1"/>
  <c r="C11" i="4"/>
  <c r="D11" i="4" s="1"/>
  <c r="E11" i="4" s="1"/>
  <c r="F11" i="4" s="1"/>
  <c r="G11" i="4" s="1"/>
  <c r="C12" i="4"/>
  <c r="D12" i="4" s="1"/>
  <c r="E12" i="4" s="1"/>
  <c r="F12" i="4" s="1"/>
  <c r="G12" i="4" s="1"/>
  <c r="C14" i="4"/>
  <c r="D14" i="4" s="1"/>
  <c r="E14" i="4" s="1"/>
  <c r="F14" i="4" s="1"/>
  <c r="G14" i="4" s="1"/>
  <c r="C15" i="4"/>
  <c r="D15" i="4" s="1"/>
  <c r="E15" i="4" s="1"/>
  <c r="F15" i="4" s="1"/>
  <c r="G15" i="4" s="1"/>
  <c r="C17" i="4"/>
  <c r="D17" i="4" s="1"/>
  <c r="E17" i="4" s="1"/>
  <c r="F17" i="4" s="1"/>
  <c r="G17" i="4" s="1"/>
  <c r="C18" i="4"/>
  <c r="D18" i="4" s="1"/>
  <c r="E18" i="4" s="1"/>
  <c r="F18" i="4" s="1"/>
  <c r="G18" i="4" s="1"/>
  <c r="C19" i="4"/>
  <c r="D19" i="4" s="1"/>
  <c r="E19" i="4" s="1"/>
  <c r="F19" i="4" s="1"/>
  <c r="G19" i="4" s="1"/>
  <c r="C20" i="4"/>
  <c r="D20" i="4" s="1"/>
  <c r="E20" i="4" s="1"/>
  <c r="F20" i="4" s="1"/>
  <c r="G20" i="4" s="1"/>
  <c r="C21" i="4"/>
  <c r="D21" i="4" s="1"/>
  <c r="E21" i="4" s="1"/>
  <c r="F21" i="4" s="1"/>
  <c r="G21" i="4" s="1"/>
  <c r="C24" i="4"/>
  <c r="D24" i="4" s="1"/>
  <c r="C35" i="39"/>
  <c r="K75" i="7"/>
  <c r="C31" i="39" s="1"/>
  <c r="D31" i="39" s="1"/>
  <c r="E31" i="39" s="1"/>
  <c r="F31" i="39" s="1"/>
  <c r="G31" i="39" s="1"/>
  <c r="H75" i="7"/>
  <c r="D99" i="7"/>
  <c r="C109" i="39" s="1"/>
  <c r="F99" i="7"/>
  <c r="C117" i="39" s="1"/>
  <c r="E99" i="7"/>
  <c r="G99" i="7"/>
  <c r="C121" i="39" s="1"/>
  <c r="H99" i="7"/>
  <c r="C125" i="39" s="1"/>
  <c r="D125" i="39" s="1"/>
  <c r="E125" i="39" s="1"/>
  <c r="F125" i="39" s="1"/>
  <c r="G125" i="39" s="1"/>
  <c r="I99" i="7"/>
  <c r="C129" i="39" s="1"/>
  <c r="D129" i="39" s="1"/>
  <c r="E129" i="39" s="1"/>
  <c r="F129" i="39" s="1"/>
  <c r="G129" i="39" s="1"/>
  <c r="J99" i="7"/>
  <c r="C133" i="39" s="1"/>
  <c r="K99" i="7"/>
  <c r="L99" i="7"/>
  <c r="O99" i="7"/>
  <c r="C154" i="39" s="1"/>
  <c r="D154" i="39" s="1"/>
  <c r="E154" i="39" s="1"/>
  <c r="F154" i="39" s="1"/>
  <c r="G154" i="39" s="1"/>
  <c r="E75" i="7"/>
  <c r="L75" i="7"/>
  <c r="J75" i="7"/>
  <c r="I75" i="7"/>
  <c r="D75" i="7"/>
  <c r="C24" i="39" s="1"/>
  <c r="D35" i="39" l="1"/>
  <c r="C153" i="39"/>
  <c r="E18" i="39"/>
  <c r="D145" i="39"/>
  <c r="D147" i="39" s="1"/>
  <c r="E19" i="39"/>
  <c r="D46" i="4"/>
  <c r="E46" i="4" s="1"/>
  <c r="F46" i="4" s="1"/>
  <c r="G46" i="4" s="1"/>
  <c r="F72" i="4"/>
  <c r="G72" i="4" s="1"/>
  <c r="F75" i="39"/>
  <c r="G75" i="39" s="1"/>
  <c r="C137" i="39"/>
  <c r="D137" i="39" s="1"/>
  <c r="E137" i="39" s="1"/>
  <c r="F137" i="39" s="1"/>
  <c r="G137" i="39" s="1"/>
  <c r="E35" i="39"/>
  <c r="F35" i="39" s="1"/>
  <c r="G35" i="39" s="1"/>
  <c r="D37" i="4"/>
  <c r="E30" i="4"/>
  <c r="F30" i="4" s="1"/>
  <c r="G30" i="4" s="1"/>
  <c r="C28" i="39"/>
  <c r="E24" i="4"/>
  <c r="F24" i="4" s="1"/>
  <c r="G24" i="4" s="1"/>
  <c r="P99" i="7"/>
  <c r="P86" i="7"/>
  <c r="P75" i="7"/>
  <c r="C29" i="4"/>
  <c r="P26" i="7"/>
  <c r="C9" i="4"/>
  <c r="J86" i="7"/>
  <c r="F18" i="39" l="1"/>
  <c r="E145" i="39"/>
  <c r="E147" i="39" s="1"/>
  <c r="F19" i="39"/>
  <c r="D9" i="4"/>
  <c r="D28" i="39"/>
  <c r="E28" i="39" s="1"/>
  <c r="F28" i="39" s="1"/>
  <c r="G28" i="39" s="1"/>
  <c r="E37" i="4"/>
  <c r="C26" i="4"/>
  <c r="Q27" i="7" s="1"/>
  <c r="P27" i="7"/>
  <c r="P77" i="7" s="1"/>
  <c r="P101" i="7" s="1"/>
  <c r="C90" i="39"/>
  <c r="D90" i="39" s="1"/>
  <c r="E90" i="39" s="1"/>
  <c r="F90" i="39" s="1"/>
  <c r="G90" i="39" s="1"/>
  <c r="G79" i="39"/>
  <c r="F79" i="39"/>
  <c r="E79" i="39"/>
  <c r="D79" i="39"/>
  <c r="C79" i="39"/>
  <c r="C80" i="4" s="1"/>
  <c r="G65" i="39"/>
  <c r="F65" i="39"/>
  <c r="E65" i="39"/>
  <c r="D65" i="39"/>
  <c r="C65" i="39"/>
  <c r="D52" i="39"/>
  <c r="E52" i="39"/>
  <c r="F52" i="39"/>
  <c r="G52" i="39"/>
  <c r="C52" i="39"/>
  <c r="B25" i="39"/>
  <c r="B26" i="39"/>
  <c r="B27" i="39"/>
  <c r="B28" i="39"/>
  <c r="B29" i="39"/>
  <c r="B30" i="39"/>
  <c r="B31" i="39"/>
  <c r="B32" i="39"/>
  <c r="B24" i="39"/>
  <c r="D88" i="4"/>
  <c r="E88" i="4" s="1"/>
  <c r="F88" i="4" s="1"/>
  <c r="G88" i="4" s="1"/>
  <c r="D89" i="4"/>
  <c r="E89" i="4" s="1"/>
  <c r="F89" i="4" s="1"/>
  <c r="G89" i="4" s="1"/>
  <c r="G18" i="39" l="1"/>
  <c r="G145" i="39" s="1"/>
  <c r="G147" i="39" s="1"/>
  <c r="F145" i="39"/>
  <c r="F147" i="39" s="1"/>
  <c r="G19" i="39"/>
  <c r="F37" i="4"/>
  <c r="C43" i="4"/>
  <c r="C74" i="4" s="1"/>
  <c r="R82" i="7" s="1"/>
  <c r="D80" i="4"/>
  <c r="E80" i="4" s="1"/>
  <c r="F80" i="4" s="1"/>
  <c r="G80" i="4" s="1"/>
  <c r="D81" i="39"/>
  <c r="E81" i="39"/>
  <c r="F81" i="39"/>
  <c r="G81" i="39"/>
  <c r="C81" i="39"/>
  <c r="C90" i="4"/>
  <c r="D84" i="4"/>
  <c r="E84" i="4" s="1"/>
  <c r="F84" i="4" s="1"/>
  <c r="G84" i="4" s="1"/>
  <c r="D24" i="39"/>
  <c r="G37" i="4" l="1"/>
  <c r="D43" i="4"/>
  <c r="E43" i="4" s="1"/>
  <c r="F43" i="4" s="1"/>
  <c r="G43" i="4" s="1"/>
  <c r="E24" i="39"/>
  <c r="F24" i="39" s="1"/>
  <c r="G24" i="39" s="1"/>
  <c r="C81" i="4" l="1"/>
  <c r="J27" i="7"/>
  <c r="C15" i="39" s="1"/>
  <c r="C30" i="39"/>
  <c r="D30" i="39" s="1"/>
  <c r="E30" i="39" s="1"/>
  <c r="F30" i="39" s="1"/>
  <c r="G30" i="39" s="1"/>
  <c r="C132" i="39" l="1"/>
  <c r="C134" i="39" s="1"/>
  <c r="D15" i="39"/>
  <c r="J77" i="7"/>
  <c r="J101" i="7" s="1"/>
  <c r="E15" i="39" l="1"/>
  <c r="D132" i="39"/>
  <c r="I86" i="7"/>
  <c r="C29" i="39"/>
  <c r="D29" i="39" s="1"/>
  <c r="E29" i="39" s="1"/>
  <c r="F29" i="39" s="1"/>
  <c r="G29" i="39" s="1"/>
  <c r="I27" i="7"/>
  <c r="C14" i="39" s="1"/>
  <c r="C89" i="39" l="1"/>
  <c r="D89" i="39" s="1"/>
  <c r="E89" i="39" s="1"/>
  <c r="F89" i="39" s="1"/>
  <c r="G89" i="39" s="1"/>
  <c r="D134" i="39"/>
  <c r="D26" i="39"/>
  <c r="E26" i="39" s="1"/>
  <c r="F26" i="39" s="1"/>
  <c r="G26" i="39" s="1"/>
  <c r="D14" i="39"/>
  <c r="E132" i="39"/>
  <c r="F15" i="39"/>
  <c r="I77" i="7"/>
  <c r="I101" i="7" s="1"/>
  <c r="C128" i="39" l="1"/>
  <c r="C130" i="39" s="1"/>
  <c r="E134" i="39"/>
  <c r="G15" i="39"/>
  <c r="G132" i="39" s="1"/>
  <c r="F132" i="39"/>
  <c r="E14" i="39"/>
  <c r="D128" i="39"/>
  <c r="D130" i="39" s="1"/>
  <c r="D81" i="4"/>
  <c r="F134" i="39" l="1"/>
  <c r="G134" i="39"/>
  <c r="F14" i="39"/>
  <c r="E128" i="39"/>
  <c r="E130" i="39" s="1"/>
  <c r="E81" i="4"/>
  <c r="G14" i="39" l="1"/>
  <c r="G128" i="39" s="1"/>
  <c r="G130" i="39" s="1"/>
  <c r="F128" i="39"/>
  <c r="F130" i="39" s="1"/>
  <c r="G81" i="4"/>
  <c r="F81" i="4"/>
  <c r="K86" i="7"/>
  <c r="K27" i="7"/>
  <c r="C16" i="39" s="1"/>
  <c r="C91" i="39" l="1"/>
  <c r="D91" i="39" s="1"/>
  <c r="E91" i="39" s="1"/>
  <c r="F91" i="39" s="1"/>
  <c r="G91" i="39" s="1"/>
  <c r="D16" i="39"/>
  <c r="D27" i="39"/>
  <c r="E27" i="39" s="1"/>
  <c r="F27" i="39" s="1"/>
  <c r="G27" i="39" s="1"/>
  <c r="L86" i="7"/>
  <c r="C136" i="39" l="1"/>
  <c r="C92" i="39"/>
  <c r="D92" i="39" s="1"/>
  <c r="E92" i="39" s="1"/>
  <c r="F92" i="39" s="1"/>
  <c r="G92" i="39" s="1"/>
  <c r="K77" i="7"/>
  <c r="K101" i="7" s="1"/>
  <c r="E16" i="39"/>
  <c r="C32" i="39"/>
  <c r="D32" i="39" s="1"/>
  <c r="E32" i="39" s="1"/>
  <c r="F32" i="39" s="1"/>
  <c r="G32" i="39" s="1"/>
  <c r="L27" i="7"/>
  <c r="C17" i="39" s="1"/>
  <c r="D27" i="7"/>
  <c r="C9" i="39" s="1"/>
  <c r="F27" i="7"/>
  <c r="C11" i="39" s="1"/>
  <c r="G27" i="7"/>
  <c r="C12" i="39" s="1"/>
  <c r="O27" i="7"/>
  <c r="C20" i="39" s="1"/>
  <c r="D20" i="39" l="1"/>
  <c r="D11" i="39"/>
  <c r="D12" i="39"/>
  <c r="F16" i="39"/>
  <c r="C138" i="39"/>
  <c r="D17" i="39"/>
  <c r="C140" i="39"/>
  <c r="C142" i="39" s="1"/>
  <c r="D9" i="39"/>
  <c r="C25" i="39"/>
  <c r="D25" i="39" s="1"/>
  <c r="E25" i="39" s="1"/>
  <c r="F25" i="39" s="1"/>
  <c r="F77" i="7"/>
  <c r="D77" i="7"/>
  <c r="O77" i="7"/>
  <c r="L77" i="7"/>
  <c r="L101" i="7" s="1"/>
  <c r="H27" i="7"/>
  <c r="C13" i="39" s="1"/>
  <c r="E27" i="7"/>
  <c r="C10" i="39" s="1"/>
  <c r="C21" i="39" l="1"/>
  <c r="G25" i="39"/>
  <c r="D13" i="39"/>
  <c r="E9" i="4"/>
  <c r="E11" i="39"/>
  <c r="E9" i="39"/>
  <c r="G16" i="39"/>
  <c r="E17" i="39"/>
  <c r="D140" i="39"/>
  <c r="D142" i="39" s="1"/>
  <c r="E12" i="39"/>
  <c r="D136" i="39"/>
  <c r="E20" i="39"/>
  <c r="C36" i="39"/>
  <c r="D29" i="4"/>
  <c r="D74" i="4" s="1"/>
  <c r="E77" i="7"/>
  <c r="B1" i="7"/>
  <c r="A1" i="41" l="1"/>
  <c r="E13" i="39"/>
  <c r="F13" i="39" s="1"/>
  <c r="G13" i="39" s="1"/>
  <c r="C38" i="39"/>
  <c r="D138" i="39"/>
  <c r="F9" i="4"/>
  <c r="E29" i="4"/>
  <c r="E74" i="4" s="1"/>
  <c r="F20" i="39"/>
  <c r="F9" i="39"/>
  <c r="F17" i="39"/>
  <c r="E140" i="39"/>
  <c r="E142" i="39" s="1"/>
  <c r="E136" i="39"/>
  <c r="F12" i="39"/>
  <c r="F11" i="39"/>
  <c r="D36" i="39"/>
  <c r="D10" i="39"/>
  <c r="D21" i="39" s="1"/>
  <c r="F26" i="4" l="1"/>
  <c r="E138" i="39"/>
  <c r="G9" i="4"/>
  <c r="F29" i="4"/>
  <c r="F74" i="4" s="1"/>
  <c r="G136" i="39"/>
  <c r="F136" i="39"/>
  <c r="G17" i="39"/>
  <c r="G140" i="39" s="1"/>
  <c r="G142" i="39" s="1"/>
  <c r="F140" i="39"/>
  <c r="F142" i="39" s="1"/>
  <c r="G9" i="39"/>
  <c r="G11" i="39"/>
  <c r="G12" i="39"/>
  <c r="G20" i="39"/>
  <c r="E36" i="39"/>
  <c r="D38" i="39"/>
  <c r="E10" i="39"/>
  <c r="C76" i="4"/>
  <c r="G77" i="7"/>
  <c r="G86" i="7"/>
  <c r="C87" i="39" s="1"/>
  <c r="G101" i="7" l="1"/>
  <c r="G138" i="39"/>
  <c r="F138" i="39"/>
  <c r="C94" i="4"/>
  <c r="H95" i="4" s="1"/>
  <c r="G29" i="4"/>
  <c r="G74" i="4" s="1"/>
  <c r="D87" i="39"/>
  <c r="C120" i="39"/>
  <c r="C122" i="39" s="1"/>
  <c r="F36" i="39"/>
  <c r="E21" i="39"/>
  <c r="E38" i="39" s="1"/>
  <c r="F10" i="39"/>
  <c r="C98" i="4" l="1"/>
  <c r="E87" i="39"/>
  <c r="D120" i="39"/>
  <c r="G36" i="39"/>
  <c r="F21" i="39"/>
  <c r="F38" i="39" s="1"/>
  <c r="G10" i="39"/>
  <c r="D26" i="4"/>
  <c r="D122" i="39" l="1"/>
  <c r="F87" i="39"/>
  <c r="E120" i="39"/>
  <c r="G21" i="39"/>
  <c r="G38" i="39" s="1"/>
  <c r="G26" i="4"/>
  <c r="E26" i="4"/>
  <c r="F86" i="7"/>
  <c r="E86" i="7"/>
  <c r="D86" i="7"/>
  <c r="O86" i="7"/>
  <c r="C85" i="39" l="1"/>
  <c r="E101" i="7"/>
  <c r="C86" i="39"/>
  <c r="F101" i="7"/>
  <c r="C93" i="39"/>
  <c r="O101" i="7"/>
  <c r="C84" i="39"/>
  <c r="D101" i="7"/>
  <c r="E122" i="39"/>
  <c r="G87" i="39"/>
  <c r="G120" i="39" s="1"/>
  <c r="F120" i="39"/>
  <c r="H86" i="7"/>
  <c r="C88" i="39" s="1"/>
  <c r="C124" i="39" s="1"/>
  <c r="C108" i="39" l="1"/>
  <c r="C110" i="39" s="1"/>
  <c r="C149" i="39"/>
  <c r="C151" i="39" s="1"/>
  <c r="C116" i="39"/>
  <c r="C118" i="39" s="1"/>
  <c r="D93" i="39"/>
  <c r="E93" i="39" s="1"/>
  <c r="D86" i="39"/>
  <c r="E86" i="39" s="1"/>
  <c r="G122" i="39"/>
  <c r="F122" i="39"/>
  <c r="C155" i="39"/>
  <c r="D88" i="39"/>
  <c r="D84" i="39"/>
  <c r="D149" i="39" s="1"/>
  <c r="D151" i="39" s="1"/>
  <c r="C94" i="39"/>
  <c r="C98" i="39" s="1"/>
  <c r="D85" i="39"/>
  <c r="C112" i="39"/>
  <c r="C99" i="4"/>
  <c r="D97" i="4" s="1"/>
  <c r="E90" i="4"/>
  <c r="D90" i="4"/>
  <c r="C114" i="39" l="1"/>
  <c r="D116" i="39"/>
  <c r="D118" i="39" s="1"/>
  <c r="D153" i="39"/>
  <c r="D155" i="39" s="1"/>
  <c r="C102" i="39"/>
  <c r="C103" i="39" s="1"/>
  <c r="D101" i="39" s="1"/>
  <c r="E85" i="39"/>
  <c r="D112" i="39"/>
  <c r="D114" i="39" s="1"/>
  <c r="E84" i="39"/>
  <c r="E149" i="39" s="1"/>
  <c r="E151" i="39" s="1"/>
  <c r="D94" i="39"/>
  <c r="E88" i="39"/>
  <c r="D124" i="39"/>
  <c r="F86" i="39"/>
  <c r="E116" i="39"/>
  <c r="F93" i="39"/>
  <c r="E153" i="39"/>
  <c r="E155" i="39" s="1"/>
  <c r="D76" i="4"/>
  <c r="E76" i="4"/>
  <c r="H77" i="7"/>
  <c r="H101" i="7" s="1"/>
  <c r="C126" i="39" s="1"/>
  <c r="E118" i="39" l="1"/>
  <c r="D126" i="39"/>
  <c r="G86" i="39"/>
  <c r="G116" i="39" s="1"/>
  <c r="F116" i="39"/>
  <c r="F84" i="39"/>
  <c r="F149" i="39" s="1"/>
  <c r="F151" i="39" s="1"/>
  <c r="E94" i="39"/>
  <c r="F88" i="39"/>
  <c r="E124" i="39"/>
  <c r="G93" i="39"/>
  <c r="G153" i="39" s="1"/>
  <c r="G155" i="39" s="1"/>
  <c r="F153" i="39"/>
  <c r="F155" i="39" s="1"/>
  <c r="F85" i="39"/>
  <c r="F112" i="39" s="1"/>
  <c r="E112" i="39"/>
  <c r="E114" i="39" s="1"/>
  <c r="F90" i="4"/>
  <c r="F118" i="39" l="1"/>
  <c r="G118" i="39"/>
  <c r="E126" i="39"/>
  <c r="G88" i="39"/>
  <c r="G124" i="39" s="1"/>
  <c r="F124" i="39"/>
  <c r="G84" i="39"/>
  <c r="G149" i="39" s="1"/>
  <c r="G151" i="39" s="1"/>
  <c r="F94" i="39"/>
  <c r="G85" i="39"/>
  <c r="G112" i="39" s="1"/>
  <c r="G114" i="39" s="1"/>
  <c r="F114" i="39"/>
  <c r="F76" i="4"/>
  <c r="G76" i="4"/>
  <c r="F126" i="39" l="1"/>
  <c r="G126" i="39"/>
  <c r="G94" i="39"/>
  <c r="G90" i="4"/>
  <c r="D94" i="4" l="1"/>
  <c r="D98" i="4" s="1"/>
  <c r="D99" i="4" s="1"/>
  <c r="E97" i="4" s="1"/>
  <c r="G94" i="4" l="1"/>
  <c r="G98" i="4" s="1"/>
  <c r="E94" i="4"/>
  <c r="E98" i="4" s="1"/>
  <c r="E99" i="4" s="1"/>
  <c r="F97" i="4" s="1"/>
  <c r="D108" i="39"/>
  <c r="D110" i="39" s="1"/>
  <c r="D98" i="39"/>
  <c r="D102" i="39" s="1"/>
  <c r="D103" i="39" s="1"/>
  <c r="E101" i="39" s="1"/>
  <c r="F94" i="4"/>
  <c r="F98" i="4" s="1"/>
  <c r="F99" i="4" l="1"/>
  <c r="G97" i="4" s="1"/>
  <c r="G99" i="4" s="1"/>
  <c r="F108" i="39"/>
  <c r="F110" i="39" s="1"/>
  <c r="F98" i="39"/>
  <c r="F102" i="39" s="1"/>
  <c r="E98" i="39"/>
  <c r="E102" i="39" s="1"/>
  <c r="E103" i="39" s="1"/>
  <c r="F101" i="39" s="1"/>
  <c r="E108" i="39"/>
  <c r="E110" i="39" s="1"/>
  <c r="G108" i="39"/>
  <c r="G110" i="39" s="1"/>
  <c r="G98" i="39"/>
  <c r="G102" i="39" s="1"/>
  <c r="F103" i="39" l="1"/>
  <c r="G101" i="39" s="1"/>
  <c r="G103" i="39" s="1"/>
</calcChain>
</file>

<file path=xl/sharedStrings.xml><?xml version="1.0" encoding="utf-8"?>
<sst xmlns="http://schemas.openxmlformats.org/spreadsheetml/2006/main" count="913" uniqueCount="333">
  <si>
    <t xml:space="preserve">Revenue </t>
  </si>
  <si>
    <t>REVENUES</t>
  </si>
  <si>
    <t>EXPENSES</t>
  </si>
  <si>
    <t xml:space="preserve">Budget by Segment </t>
  </si>
  <si>
    <t xml:space="preserve">     Total Revenue </t>
  </si>
  <si>
    <t>Expenses</t>
  </si>
  <si>
    <t xml:space="preserve">     Total Expenses </t>
  </si>
  <si>
    <t xml:space="preserve">Surplus (Deficit) </t>
  </si>
  <si>
    <t xml:space="preserve">     SUBTOTAL INTERNAL TRANSFERS</t>
  </si>
  <si>
    <t>Health</t>
  </si>
  <si>
    <t>Education</t>
  </si>
  <si>
    <t xml:space="preserve">    </t>
  </si>
  <si>
    <t>Administration fees</t>
  </si>
  <si>
    <t>Honoraria</t>
  </si>
  <si>
    <t>Travel</t>
  </si>
  <si>
    <t>Other expenses</t>
  </si>
  <si>
    <t>710, 711, 713, 714, 716</t>
  </si>
  <si>
    <t>Insurance</t>
  </si>
  <si>
    <t>732,735</t>
  </si>
  <si>
    <t>647, 4000, 4120, 4130, 4140, 4150</t>
  </si>
  <si>
    <t>790, 791, 792, 793, 800</t>
  </si>
  <si>
    <t>GL CODE</t>
  </si>
  <si>
    <t>Estimated inflation rate</t>
  </si>
  <si>
    <t>SUBTOTAL OTHER ITEMS</t>
  </si>
  <si>
    <t>SUBTOTAL EXPENSES</t>
  </si>
  <si>
    <t>SUBTOTAL REVENUES</t>
  </si>
  <si>
    <t>810, 815</t>
  </si>
  <si>
    <t>720,731,732,733,751,752,780,801,831,835,836,880,891,892,899,900,925,930,945,955,960,961,962,963</t>
  </si>
  <si>
    <t>TOTAL</t>
  </si>
  <si>
    <t>LONG POINT FIRST NATION</t>
  </si>
  <si>
    <t>2025-2026</t>
  </si>
  <si>
    <t>Human Resources Development</t>
  </si>
  <si>
    <t>Public Works</t>
  </si>
  <si>
    <t>Economic Development</t>
  </si>
  <si>
    <t>Fire Protection</t>
  </si>
  <si>
    <t>Social Assistance</t>
  </si>
  <si>
    <t>Housing</t>
  </si>
  <si>
    <t>Natural Resources and Others</t>
  </si>
  <si>
    <t>Indigenous Service Canada</t>
  </si>
  <si>
    <t>Indigenous Service Canada - Health</t>
  </si>
  <si>
    <t>Canada Mortgage and Housing Corporation</t>
  </si>
  <si>
    <t>Contract and Machinery rental</t>
  </si>
  <si>
    <t>First Nation Education Council</t>
  </si>
  <si>
    <t>Canadian Malartic Mine</t>
  </si>
  <si>
    <t>FNHRDCQ</t>
  </si>
  <si>
    <t>MFFP</t>
  </si>
  <si>
    <t>Secrétariat aux Affaires Autochtones</t>
  </si>
  <si>
    <t>Contract with Forestry companies</t>
  </si>
  <si>
    <t>Salaries and fringe benefits</t>
  </si>
  <si>
    <t>Allocation for social assistance</t>
  </si>
  <si>
    <t>Allocation - other</t>
  </si>
  <si>
    <t>Contracts</t>
  </si>
  <si>
    <t>Election Expenses</t>
  </si>
  <si>
    <t>Electricity</t>
  </si>
  <si>
    <t>Interest and bank charges</t>
  </si>
  <si>
    <t>Interest on long term debt</t>
  </si>
  <si>
    <t>Licence and permits</t>
  </si>
  <si>
    <t>Maintenance</t>
  </si>
  <si>
    <t>Material and supplies</t>
  </si>
  <si>
    <t>Medical Transportation</t>
  </si>
  <si>
    <t>Purchase of fuel</t>
  </si>
  <si>
    <t>Rental</t>
  </si>
  <si>
    <t>Telephone</t>
  </si>
  <si>
    <t>Training</t>
  </si>
  <si>
    <t>Tuition fees</t>
  </si>
  <si>
    <t>Transfer to Amosesag ChildCare Centre</t>
  </si>
  <si>
    <t>Transfers to reserves</t>
  </si>
  <si>
    <t>Replacement Reserve - Article 95</t>
  </si>
  <si>
    <t>Fire Reserve</t>
  </si>
  <si>
    <t>Other Reserve</t>
  </si>
  <si>
    <t>Capital reduction of long term debt</t>
  </si>
  <si>
    <t>Opening balance</t>
  </si>
  <si>
    <t>Annual cash surplus (deficit)</t>
  </si>
  <si>
    <t>Closing balance</t>
  </si>
  <si>
    <t>Administration and Band Governance</t>
  </si>
  <si>
    <t>SUBTOTAL PURCHASE OF CAPITAL ASSETS</t>
  </si>
  <si>
    <t>SUBTOTAL PROCEEDS FROM LONG TERM DEBT</t>
  </si>
  <si>
    <t>CAPITAL REDUCTION OF LONG TERM DEBT</t>
  </si>
  <si>
    <t>SUBTOTAL CAPITAL REDUCTION OF LONG TERM DEBT</t>
  </si>
  <si>
    <t>OTHER ITEMS</t>
  </si>
  <si>
    <t>TRANSFERS TO RESERVES</t>
  </si>
  <si>
    <t xml:space="preserve">     SUBTOTAL TRANSFERS TO RESERVES</t>
  </si>
  <si>
    <t>Transfer between departments</t>
  </si>
  <si>
    <t>Surplus (deficit) after transfer between departments</t>
  </si>
  <si>
    <t>Administration</t>
  </si>
  <si>
    <t>FINANCIAL PLAN SURPLUS (DEFICIT) BY DEPARTMENT</t>
  </si>
  <si>
    <t>Increase on the agreement on an annual basis</t>
  </si>
  <si>
    <t>Other</t>
  </si>
  <si>
    <t>Bad debts</t>
  </si>
  <si>
    <t>Workshops/Social events</t>
  </si>
  <si>
    <t>Transfers between departments - From (to)</t>
  </si>
  <si>
    <t xml:space="preserve">     Net Transfers to reserves</t>
  </si>
  <si>
    <t>Natural Resources and Other</t>
  </si>
  <si>
    <t xml:space="preserve">     Net Transfers between departments</t>
  </si>
  <si>
    <t>Net Surplus (Deficit) - Before transfers</t>
  </si>
  <si>
    <t>Use of unexpended funding from previous years</t>
  </si>
  <si>
    <t>Professionnal fees, legal fees and consultants</t>
  </si>
  <si>
    <t>FNQLHSSC</t>
  </si>
  <si>
    <t>Rental and contracts</t>
  </si>
  <si>
    <t>ISC and ISC Health budgeted revenues</t>
  </si>
  <si>
    <t>BUDGETS ADJUSTMENTS</t>
  </si>
  <si>
    <t>NET FINANCIAL ASSETS</t>
  </si>
  <si>
    <t>NET FINANCIAL ASSETS AT THE BEGINNING</t>
  </si>
  <si>
    <t>Annual Net FinancialAsset increase (deficit)</t>
  </si>
  <si>
    <r>
      <rPr>
        <b/>
        <sz val="11"/>
        <color rgb="FFFF0000"/>
        <rFont val="Calibri"/>
        <family val="2"/>
        <scheme val="minor"/>
      </rPr>
      <t>(2)</t>
    </r>
    <r>
      <rPr>
        <sz val="11"/>
        <color theme="1"/>
        <rFont val="Calibri"/>
        <family val="2"/>
        <scheme val="minor"/>
      </rPr>
      <t xml:space="preserve"> No new long term debts has been planned in the Financial Plan. For any new long term debt from CMHC will be covered by a subsidy from CMHC for th same amount.</t>
    </r>
  </si>
  <si>
    <r>
      <t>PURCHASES OF CAPITAL ASSETS</t>
    </r>
    <r>
      <rPr>
        <b/>
        <sz val="11"/>
        <color rgb="FFFF0000"/>
        <rFont val="Calibri"/>
        <family val="2"/>
        <scheme val="minor"/>
      </rPr>
      <t xml:space="preserve"> (1)</t>
    </r>
  </si>
  <si>
    <t>AVAILABLE FUNDING FOR THE REMAINING OF THE AGREEMENT - OPERATIONAL ACTIVITIES</t>
  </si>
  <si>
    <t xml:space="preserve">FINANCIAL PLAN BALANCE </t>
  </si>
  <si>
    <t>SURPLUS FROM OPERATIONS</t>
  </si>
  <si>
    <r>
      <rPr>
        <b/>
        <sz val="11"/>
        <color rgb="FFFF0000"/>
        <rFont val="Calibri"/>
        <family val="2"/>
        <scheme val="minor"/>
      </rPr>
      <t>(2)</t>
    </r>
    <r>
      <rPr>
        <sz val="11"/>
        <color theme="1"/>
        <rFont val="Calibri"/>
        <family val="2"/>
        <scheme val="minor"/>
      </rPr>
      <t xml:space="preserve"> No new long term debts has been planned in the Financial Plan. Any new long term debt from CMHC will be covered by a subsidy from CMHC for the same amount.</t>
    </r>
  </si>
  <si>
    <t>FINANCIAL PLAN SURPLUS</t>
  </si>
  <si>
    <r>
      <t>Purchases of capital assets</t>
    </r>
    <r>
      <rPr>
        <b/>
        <sz val="11"/>
        <color rgb="FFFF0000"/>
        <rFont val="Calibri"/>
        <family val="2"/>
        <scheme val="minor"/>
      </rPr>
      <t xml:space="preserve"> (1)</t>
    </r>
  </si>
  <si>
    <r>
      <t xml:space="preserve">Proceeds from long term debt </t>
    </r>
    <r>
      <rPr>
        <b/>
        <sz val="11"/>
        <color rgb="FFFF0000"/>
        <rFont val="Calibri"/>
        <family val="2"/>
        <scheme val="minor"/>
      </rPr>
      <t>(1) (2)</t>
    </r>
  </si>
  <si>
    <r>
      <t xml:space="preserve">PROCEEDS FROM LONG TERM DEBT </t>
    </r>
    <r>
      <rPr>
        <b/>
        <sz val="11"/>
        <color rgb="FFFF0000"/>
        <rFont val="Calibri"/>
        <family val="2"/>
        <scheme val="minor"/>
      </rPr>
      <t>(1) (2)</t>
    </r>
  </si>
  <si>
    <t>Centre Jeunesse de l'Abitibi-Témiscamingue</t>
  </si>
  <si>
    <t>Human Ressources Development Canada</t>
  </si>
  <si>
    <t>Preventitive Measures</t>
  </si>
  <si>
    <t>2026-2027</t>
  </si>
  <si>
    <t>First Line Services</t>
  </si>
  <si>
    <t>MFFP (Natural ressources)</t>
  </si>
  <si>
    <t>Contract with Forestry companies (Eacom and Rayonier)</t>
  </si>
  <si>
    <t>Public works</t>
  </si>
  <si>
    <t>Écart</t>
  </si>
  <si>
    <t>9080 - Jordan's Principle</t>
  </si>
  <si>
    <t>Selon entente de financement</t>
  </si>
  <si>
    <t>2355 - Adult Education</t>
  </si>
  <si>
    <t>Total expected funding to be received - Operational activities</t>
  </si>
  <si>
    <t>Plus : Major adjustment made on projected ISC amendments</t>
  </si>
  <si>
    <t>BUDGET - ISC AGREEMENT</t>
  </si>
  <si>
    <t>FUNDING OF THE AGREEMENT PER FINANCIAL YEAR</t>
  </si>
  <si>
    <t>Fire protection</t>
  </si>
  <si>
    <t xml:space="preserve">Allocation for Education </t>
  </si>
  <si>
    <t>Transportation expenses</t>
  </si>
  <si>
    <t>Social Events/Programs</t>
  </si>
  <si>
    <t>Job creation initiative</t>
  </si>
  <si>
    <t>Living allowance</t>
  </si>
  <si>
    <t>Cultural Activities and week</t>
  </si>
  <si>
    <t>Field Trip and graduation</t>
  </si>
  <si>
    <t>Accommodation and meals</t>
  </si>
  <si>
    <t>Activities and food</t>
  </si>
  <si>
    <t>Promotional Awareness/Material</t>
  </si>
  <si>
    <t>Contingency Funds</t>
  </si>
  <si>
    <t>Vehicle Registration</t>
  </si>
  <si>
    <t>Prevention General</t>
  </si>
  <si>
    <t>Guest Speakers</t>
  </si>
  <si>
    <t>Daycare fees</t>
  </si>
  <si>
    <t>Unused (Natural Resources)</t>
  </si>
  <si>
    <t>2027-2028</t>
  </si>
  <si>
    <t>SET</t>
  </si>
  <si>
    <t>9050 - First Line Services</t>
  </si>
  <si>
    <t>Projet #</t>
  </si>
  <si>
    <t>Description</t>
  </si>
  <si>
    <t>Special Need</t>
  </si>
  <si>
    <t>Budget</t>
  </si>
  <si>
    <t>Entente</t>
  </si>
  <si>
    <t>ÉCARTS ENTRE BUDGET ET ENTENTE</t>
  </si>
  <si>
    <t>First Line</t>
  </si>
  <si>
    <t>Specific Claim</t>
  </si>
  <si>
    <t>Membership</t>
  </si>
  <si>
    <t>Band Support</t>
  </si>
  <si>
    <t>Band Employee Benefit</t>
  </si>
  <si>
    <t>Basic Needs</t>
  </si>
  <si>
    <t>Post Sec</t>
  </si>
  <si>
    <t>CEDO</t>
  </si>
  <si>
    <t>Amo Ososwan</t>
  </si>
  <si>
    <t>Teacherage Duplexes</t>
  </si>
  <si>
    <t>Adult Education</t>
  </si>
  <si>
    <t>Post Sec Partnership</t>
  </si>
  <si>
    <t>O&amp;M School</t>
  </si>
  <si>
    <t>Head Start</t>
  </si>
  <si>
    <t>Maternal &amp; Child Health</t>
  </si>
  <si>
    <t>O&amp;M Clinic</t>
  </si>
  <si>
    <t>Communicable Disease</t>
  </si>
  <si>
    <t>NNADAP</t>
  </si>
  <si>
    <t>Solvent Abuse</t>
  </si>
  <si>
    <t>Fetal Alcohol</t>
  </si>
  <si>
    <t>JP</t>
  </si>
  <si>
    <t>CHR</t>
  </si>
  <si>
    <t>Home &amp; Community Care</t>
  </si>
  <si>
    <t>Diabetes</t>
  </si>
  <si>
    <t>Food Secuirty</t>
  </si>
  <si>
    <t>Pre Natal Nutrition</t>
  </si>
  <si>
    <t>Management support</t>
  </si>
  <si>
    <t>Nursing</t>
  </si>
  <si>
    <t>COHI</t>
  </si>
  <si>
    <t>HC Workers</t>
  </si>
  <si>
    <t>9301 + 9317</t>
  </si>
  <si>
    <t>Accreditation Services</t>
  </si>
  <si>
    <t>Brighter Future</t>
  </si>
  <si>
    <t>Mental Wellness</t>
  </si>
  <si>
    <t>Mental Wellness team</t>
  </si>
  <si>
    <t>Road &amp; Bridges</t>
  </si>
  <si>
    <t>Wastewater System</t>
  </si>
  <si>
    <t>Water System</t>
  </si>
  <si>
    <t>Community Buildings</t>
  </si>
  <si>
    <t>O&amp;M Water and Wastewater</t>
  </si>
  <si>
    <t>Maintenance Management</t>
  </si>
  <si>
    <t>4210-4215-4228 ??</t>
  </si>
  <si>
    <t>EcoCentre</t>
  </si>
  <si>
    <t>Roll Off Truck</t>
  </si>
  <si>
    <t>Municipal Services</t>
  </si>
  <si>
    <t>Capital projects</t>
  </si>
  <si>
    <t>Fire Protection Equip</t>
  </si>
  <si>
    <t>Fire Protection Operations</t>
  </si>
  <si>
    <t>Fire Protection training</t>
  </si>
  <si>
    <t>Service Delivery</t>
  </si>
  <si>
    <t>Housing Admin</t>
  </si>
  <si>
    <t>First Nation Representative Services</t>
  </si>
  <si>
    <t>Q40K - Health Systems Support</t>
  </si>
  <si>
    <t>Purchase of capital assets</t>
  </si>
  <si>
    <t>Reimbursment capiatal and Interest on long term debt</t>
  </si>
  <si>
    <t>Q40R</t>
  </si>
  <si>
    <t xml:space="preserve">NFR Housing O&amp;M </t>
  </si>
  <si>
    <t>NFR Housing CAP</t>
  </si>
  <si>
    <t>Q40S</t>
  </si>
  <si>
    <t>NFR Comm Infra O&amp;M</t>
  </si>
  <si>
    <t>Q40T</t>
  </si>
  <si>
    <t>NFR Water &amp; Wastewater O&amp;M</t>
  </si>
  <si>
    <t>Q40N</t>
  </si>
  <si>
    <t xml:space="preserve">NFR Pla&amp;QUA&amp;Sys Int. </t>
  </si>
  <si>
    <t>Q40K</t>
  </si>
  <si>
    <t>NFR Comm Dise CONTR&amp;MNGT</t>
  </si>
  <si>
    <t>Q40I</t>
  </si>
  <si>
    <t>NFR Healthy Living</t>
  </si>
  <si>
    <t>Q40D</t>
  </si>
  <si>
    <t>004</t>
  </si>
  <si>
    <t>NFR Healthy Child Develop</t>
  </si>
  <si>
    <t>Q40E</t>
  </si>
  <si>
    <t>001</t>
  </si>
  <si>
    <t>006</t>
  </si>
  <si>
    <t>NFR - Mental WellNess</t>
  </si>
  <si>
    <t>Q40C</t>
  </si>
  <si>
    <t>005</t>
  </si>
  <si>
    <t>NFR - Home&amp;Community Care</t>
  </si>
  <si>
    <t>Q40F</t>
  </si>
  <si>
    <t>002</t>
  </si>
  <si>
    <t>NFR Lands &amp; Ec Dev Serv</t>
  </si>
  <si>
    <t>Q40W</t>
  </si>
  <si>
    <t>NFR - Registra &amp; Membership</t>
  </si>
  <si>
    <t>Q40V</t>
  </si>
  <si>
    <t>NFR - Other Comm Infra Cap</t>
  </si>
  <si>
    <t>Q40U</t>
  </si>
  <si>
    <t>FIXED</t>
  </si>
  <si>
    <t>FLEX</t>
  </si>
  <si>
    <t>?? Nouveau?</t>
  </si>
  <si>
    <t>Q40Z</t>
  </si>
  <si>
    <t>Q410</t>
  </si>
  <si>
    <t>Q40L</t>
  </si>
  <si>
    <t>Q40M</t>
  </si>
  <si>
    <t>Q2C3</t>
  </si>
  <si>
    <t>Q30Q</t>
  </si>
  <si>
    <t>Q40J</t>
  </si>
  <si>
    <t>Q40B</t>
  </si>
  <si>
    <t>003</t>
  </si>
  <si>
    <t>007</t>
  </si>
  <si>
    <t>008</t>
  </si>
  <si>
    <t>Q40A</t>
  </si>
  <si>
    <t>001 + 002</t>
  </si>
  <si>
    <t>Q40Y</t>
  </si>
  <si>
    <t>Q010</t>
  </si>
  <si>
    <t>Q019</t>
  </si>
  <si>
    <t>Non récurrent?</t>
  </si>
  <si>
    <r>
      <t xml:space="preserve">(1) </t>
    </r>
    <r>
      <rPr>
        <sz val="11"/>
        <rFont val="Calibri"/>
        <family val="2"/>
        <scheme val="minor"/>
      </rPr>
      <t>Several projects could be realized in the future over the next 5 years. The cost has been estimated as follow : 
Skating rink - $9,200,000
New band office - $8,500,000
Sanitary Sewer Repairs - $6,000,000
The funding structure has not been established yet. The band council is on a process to establish the funding structure to cover these capital projects. Requests will be done to the funders regarding those capital projects (such as ISC, SAA, ..). The decision will be taken project by project by analyzing the financial capacity of the First Nation based on a positive Net Financial Assets balance.</t>
    </r>
  </si>
  <si>
    <t>2480-2511-2520</t>
  </si>
  <si>
    <t>9053 - First Nation Representative</t>
  </si>
  <si>
    <t>Major Renovations Extensions &amp; Repairs</t>
  </si>
  <si>
    <r>
      <t xml:space="preserve">   Medical Transportation </t>
    </r>
    <r>
      <rPr>
        <b/>
        <sz val="11"/>
        <color rgb="FFFF0000"/>
        <rFont val="Calibri"/>
        <family val="2"/>
        <scheme val="minor"/>
      </rPr>
      <t>(1)</t>
    </r>
  </si>
  <si>
    <r>
      <t xml:space="preserve">   Jordan's Principle </t>
    </r>
    <r>
      <rPr>
        <b/>
        <sz val="11"/>
        <color rgb="FFFF0000"/>
        <rFont val="Calibri"/>
        <family val="2"/>
        <scheme val="minor"/>
      </rPr>
      <t>(1)</t>
    </r>
  </si>
  <si>
    <r>
      <t xml:space="preserve">   First Nation Representative </t>
    </r>
    <r>
      <rPr>
        <b/>
        <sz val="11"/>
        <color rgb="FFFF0000"/>
        <rFont val="Calibri"/>
        <family val="2"/>
        <scheme val="minor"/>
      </rPr>
      <t>(1)</t>
    </r>
  </si>
  <si>
    <r>
      <t xml:space="preserve">   Adult Education </t>
    </r>
    <r>
      <rPr>
        <b/>
        <sz val="11"/>
        <color rgb="FFFF0000"/>
        <rFont val="Calibri"/>
        <family val="2"/>
        <scheme val="minor"/>
      </rPr>
      <t>(1)</t>
    </r>
  </si>
  <si>
    <r>
      <t xml:space="preserve">   First Line Services </t>
    </r>
    <r>
      <rPr>
        <b/>
        <sz val="11"/>
        <color rgb="FFFF0000"/>
        <rFont val="Calibri"/>
        <family val="2"/>
        <scheme val="minor"/>
      </rPr>
      <t>(1)</t>
    </r>
  </si>
  <si>
    <r>
      <t xml:space="preserve">Difference </t>
    </r>
    <r>
      <rPr>
        <b/>
        <sz val="11"/>
        <color rgb="FFFF0000"/>
        <rFont val="Calibri"/>
        <family val="2"/>
        <scheme val="minor"/>
      </rPr>
      <t>(2)</t>
    </r>
  </si>
  <si>
    <r>
      <rPr>
        <b/>
        <sz val="11"/>
        <color rgb="FFFF0000"/>
        <rFont val="Calibri"/>
        <family val="2"/>
        <scheme val="minor"/>
      </rPr>
      <t xml:space="preserve">(2) </t>
    </r>
    <r>
      <rPr>
        <sz val="11"/>
        <color theme="1"/>
        <rFont val="Calibri"/>
        <family val="2"/>
        <scheme val="minor"/>
      </rPr>
      <t>The net assets are sufficent to cover the shortfall of funding. A shortfall of funding is expected since the forecasted revenues from ISC (coming from the lastest amendment) are lower that what has been budgeted in the five year budget.</t>
    </r>
  </si>
  <si>
    <r>
      <rPr>
        <b/>
        <sz val="11"/>
        <color rgb="FFFF0000"/>
        <rFont val="Calibri"/>
        <family val="2"/>
        <scheme val="minor"/>
      </rPr>
      <t>(3)</t>
    </r>
    <r>
      <rPr>
        <sz val="11"/>
        <color theme="1"/>
        <rFont val="Calibri"/>
        <family val="2"/>
        <scheme val="minor"/>
      </rPr>
      <t xml:space="preserve"> ISC latest amendment funding do not take into consideration any inflation. Long Point First Nation is expecting a funding increase based on the inflation</t>
    </r>
  </si>
  <si>
    <r>
      <t xml:space="preserve">   Inflation to be considered </t>
    </r>
    <r>
      <rPr>
        <b/>
        <sz val="11"/>
        <color rgb="FFFF0000"/>
        <rFont val="Calibri"/>
        <family val="2"/>
        <scheme val="minor"/>
      </rPr>
      <t>(3)</t>
    </r>
  </si>
  <si>
    <t>Non recurring funding in the budget</t>
  </si>
  <si>
    <t xml:space="preserve">Budget supplémentaire à recevoir non confirmé dans l'amendement #36 </t>
  </si>
  <si>
    <r>
      <t xml:space="preserve">   Post-Secondary Partnership </t>
    </r>
    <r>
      <rPr>
        <b/>
        <sz val="11"/>
        <color rgb="FFFF0000"/>
        <rFont val="Calibri"/>
        <family val="2"/>
        <scheme val="minor"/>
      </rPr>
      <t>(1)</t>
    </r>
  </si>
  <si>
    <r>
      <t xml:space="preserve">   Fire protection </t>
    </r>
    <r>
      <rPr>
        <b/>
        <sz val="11"/>
        <color rgb="FFFF0000"/>
        <rFont val="Calibri"/>
        <family val="2"/>
        <scheme val="minor"/>
      </rPr>
      <t>(1)</t>
    </r>
  </si>
  <si>
    <t>2028-2029</t>
  </si>
  <si>
    <t>Canadian Malartic</t>
  </si>
  <si>
    <t>Allowance</t>
  </si>
  <si>
    <t>Purchase of capital assets/Equipment</t>
  </si>
  <si>
    <t>Travel expenses</t>
  </si>
  <si>
    <t>9301 - MEDICAL TRANSPORTATION</t>
  </si>
  <si>
    <t>2625 - BAND SUPPORT</t>
  </si>
  <si>
    <t>2360 - Post Secondary</t>
  </si>
  <si>
    <t>2280 - Amo Ososwan</t>
  </si>
  <si>
    <t>Secteur</t>
  </si>
  <si>
    <t>Provincial School</t>
  </si>
  <si>
    <t>nouv</t>
  </si>
  <si>
    <t>FNEC Special Education</t>
  </si>
  <si>
    <t>Traditional Healers</t>
  </si>
  <si>
    <t>Tobaco Control</t>
  </si>
  <si>
    <t>Telehealth</t>
  </si>
  <si>
    <t>Ecocenter &amp; WasteManagement Project</t>
  </si>
  <si>
    <t>NFR-HEALTH FACILITIES</t>
  </si>
  <si>
    <t>NFR-CLIN &amp; CLIENT CARE</t>
  </si>
  <si>
    <t>NFR-MENTAL WELLNESS</t>
  </si>
  <si>
    <t>9302 - Nursing</t>
  </si>
  <si>
    <t>8999 - Capital projects</t>
  </si>
  <si>
    <t>2518 - O&amp;M Water and Wastewater</t>
  </si>
  <si>
    <t>9401 - Mental Wellness</t>
  </si>
  <si>
    <r>
      <t xml:space="preserve">Amo Ososwan </t>
    </r>
    <r>
      <rPr>
        <b/>
        <sz val="11"/>
        <color rgb="FFFF0000"/>
        <rFont val="Calibri"/>
        <family val="2"/>
        <scheme val="minor"/>
      </rPr>
      <t>(1)</t>
    </r>
  </si>
  <si>
    <r>
      <t xml:space="preserve">Nursing </t>
    </r>
    <r>
      <rPr>
        <b/>
        <sz val="11"/>
        <color rgb="FFFF0000"/>
        <rFont val="Calibri"/>
        <family val="2"/>
        <scheme val="minor"/>
      </rPr>
      <t>(1)</t>
    </r>
  </si>
  <si>
    <r>
      <t xml:space="preserve">Capital projects </t>
    </r>
    <r>
      <rPr>
        <b/>
        <sz val="11"/>
        <color rgb="FFFF0000"/>
        <rFont val="Calibri"/>
        <family val="2"/>
        <scheme val="minor"/>
      </rPr>
      <t>(1)</t>
    </r>
  </si>
  <si>
    <r>
      <t xml:space="preserve">O&amp;M Water and Wastewater </t>
    </r>
    <r>
      <rPr>
        <b/>
        <sz val="11"/>
        <color rgb="FFFF0000"/>
        <rFont val="Calibri"/>
        <family val="2"/>
        <scheme val="minor"/>
      </rPr>
      <t>(1)</t>
    </r>
  </si>
  <si>
    <r>
      <t xml:space="preserve">Mental Wellness </t>
    </r>
    <r>
      <rPr>
        <b/>
        <sz val="11"/>
        <color rgb="FFFF0000"/>
        <rFont val="Calibri"/>
        <family val="2"/>
        <scheme val="minor"/>
      </rPr>
      <t>(1)</t>
    </r>
  </si>
  <si>
    <t>2025/2026 - 2029/2030 Financial Plan - BY NATURE</t>
  </si>
  <si>
    <t>2029-2030</t>
  </si>
  <si>
    <t>2025/2026- 2029/2030 Financial Plan - BY DEPARTMENT</t>
  </si>
  <si>
    <t>For Fiscal Year 2025-2026</t>
  </si>
  <si>
    <t>Selon budget 2025-2026</t>
  </si>
  <si>
    <t>Medical Transportation selon budget 2025-2026</t>
  </si>
  <si>
    <r>
      <t xml:space="preserve">Net financial assets estimated as of March 31, 2025 </t>
    </r>
    <r>
      <rPr>
        <b/>
        <sz val="11"/>
        <color rgb="FFFF0000"/>
        <rFont val="Calibri"/>
        <family val="2"/>
        <scheme val="minor"/>
      </rPr>
      <t>(1)</t>
    </r>
  </si>
  <si>
    <r>
      <rPr>
        <b/>
        <sz val="11"/>
        <color rgb="FFFF0000"/>
        <rFont val="Calibri"/>
        <family val="2"/>
        <scheme val="minor"/>
      </rPr>
      <t>(1)</t>
    </r>
    <r>
      <rPr>
        <sz val="11"/>
        <color theme="1"/>
        <rFont val="Calibri"/>
        <family val="2"/>
        <scheme val="minor"/>
      </rPr>
      <t xml:space="preserve"> - March 31, 2025 information to estimate the net financial assets are not available. An estimate has been made that the net financial assets as of March 31, 2025 should be similar to March 31, 2024 including the major change considered in the adjustment</t>
    </r>
  </si>
  <si>
    <t>Interest</t>
  </si>
  <si>
    <t>Other (SAA, Deferred from last year., MCC and Other rev.)</t>
  </si>
  <si>
    <t>Tax Reimbursement</t>
  </si>
  <si>
    <t>Workshops</t>
  </si>
  <si>
    <t>Canadian Malartic, Others, Culture and Language</t>
  </si>
  <si>
    <t>Natural resources</t>
  </si>
  <si>
    <t>Ministère de la culture et des communications</t>
  </si>
  <si>
    <t>Indigenous Service Canada and health</t>
  </si>
  <si>
    <t>Human Resources Management Governance Capacity Development</t>
  </si>
  <si>
    <t>Financial Management Governance Capacity Development</t>
  </si>
  <si>
    <t>Jordan's Principle Service Coordination</t>
  </si>
  <si>
    <t>MT-Physician Travel to Community</t>
  </si>
  <si>
    <t>According to ISC Agreement - Latest amendment #46</t>
  </si>
  <si>
    <r>
      <rPr>
        <b/>
        <sz val="11"/>
        <color rgb="FFFF0000"/>
        <rFont val="Calibri"/>
        <family val="2"/>
        <scheme val="minor"/>
      </rPr>
      <t xml:space="preserve">(1) </t>
    </r>
    <r>
      <rPr>
        <sz val="11"/>
        <color theme="1"/>
        <rFont val="Calibri"/>
        <family val="2"/>
        <scheme val="minor"/>
      </rPr>
      <t>Long Point First Nation management expect to obtain additionnal funding on future ISC agreement amendment on these projects in comparison of the ISC agreement - amdement #46.</t>
    </r>
  </si>
  <si>
    <t>Natural Ressources</t>
  </si>
  <si>
    <t>Canadian Malartic and Others</t>
  </si>
  <si>
    <t>TRANSFERS BETWEEN DEPARTEMENTS- FROM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</si>
</sst>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quot;$&quot;* #,##0_-;\-&quot;$&quot;* #,##0_-;_-&quot;$&quot;* &quot;-&quot;??_-;_-@_-"/>
    <numFmt numFmtId="167" formatCode="[$-F800]dddd\,\ mmmm\ dd\,\ yyyy"/>
    <numFmt numFmtId="168" formatCode="_(&quot;$&quot;* #,##0_);_(&quot;$&quot;* \(#,##0\);_(&quot;$&quot;* &quot;-&quot;??_);_(@_)"/>
    <numFmt numFmtId="169" formatCode="_(* #,##0_);_(* \(#,##0\);_(* &quot;-&quot;??_);_(@_)"/>
    <numFmt numFmtId="170" formatCode="_ * #,##0_)\ &quot;$&quot;_ ;_ * \(#,##0\)\ &quot;$&quot;_ ;_ * &quot;-&quot;??_)\ &quot;$&quot;_ ;_ @_ "/>
    <numFmt numFmtId="171" formatCode="_-* #,##0_-;\-* #,##0_-;_-* &quot;-&quot;??_-;_-@_-"/>
    <numFmt numFmtId="172" formatCode="_ * #,##0.00_)\ _$_ ;_ * \(#,##0.00\)\ _$_ ;_ * &quot;-&quot;??_)\ _$_ ;_ @_ "/>
    <numFmt numFmtId="173" formatCode="_ * #,##0_)\ _$_ ;_ * \(#,##0\)\ _$_ ;_ * &quot;-&quot;??_)\ _$_ ;_ @_ "/>
  </numFmts>
  <fonts count="30" x14ac:knownFonts="1">
    <font>
      <sz val="11"/>
      <color theme="1"/>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u/>
      <sz val="11"/>
      <color theme="1"/>
      <name val="Calibri"/>
      <family val="2"/>
      <scheme val="minor"/>
    </font>
    <font>
      <sz val="11"/>
      <color rgb="FFFF0000"/>
      <name val="Calibri"/>
      <family val="2"/>
      <scheme val="minor"/>
    </font>
    <font>
      <sz val="10"/>
      <color rgb="FFFF0000"/>
      <name val="Calibri"/>
      <family val="2"/>
      <scheme val="minor"/>
    </font>
    <font>
      <sz val="11"/>
      <name val="Calibri"/>
      <family val="2"/>
      <scheme val="minor"/>
    </font>
    <font>
      <i/>
      <sz val="10"/>
      <color rgb="FF0000FF"/>
      <name val="Calibri"/>
      <family val="2"/>
      <scheme val="minor"/>
    </font>
    <font>
      <i/>
      <sz val="11"/>
      <color rgb="FF0000FF"/>
      <name val="Calibri"/>
      <family val="2"/>
      <scheme val="minor"/>
    </font>
    <font>
      <b/>
      <sz val="10"/>
      <color rgb="FFFF0000"/>
      <name val="Calibri"/>
      <family val="2"/>
      <scheme val="minor"/>
    </font>
    <font>
      <i/>
      <sz val="11"/>
      <color theme="1"/>
      <name val="Calibri"/>
      <family val="2"/>
      <scheme val="minor"/>
    </font>
    <font>
      <sz val="10"/>
      <name val="Arial"/>
      <family val="2"/>
    </font>
    <font>
      <b/>
      <i/>
      <sz val="10"/>
      <color rgb="FF0000FF"/>
      <name val="Calibri"/>
      <family val="2"/>
      <scheme val="minor"/>
    </font>
    <font>
      <b/>
      <sz val="11"/>
      <color rgb="FFFF0000"/>
      <name val="Calibri"/>
      <family val="2"/>
      <scheme val="minor"/>
    </font>
    <font>
      <sz val="14"/>
      <color theme="1"/>
      <name val="Calibri"/>
      <family val="2"/>
      <scheme val="minor"/>
    </font>
    <font>
      <sz val="10"/>
      <name val="Times New Roman"/>
      <family val="1"/>
    </font>
    <font>
      <sz val="11"/>
      <name val="Times New Roman"/>
      <family val="1"/>
    </font>
    <font>
      <b/>
      <sz val="10"/>
      <name val="Times New Roman"/>
      <family val="1"/>
    </font>
    <font>
      <b/>
      <sz val="11"/>
      <name val="Calibri"/>
      <family val="2"/>
      <scheme val="minor"/>
    </font>
    <font>
      <b/>
      <sz val="10"/>
      <name val="Calibri"/>
      <family val="2"/>
      <scheme val="minor"/>
    </font>
    <font>
      <b/>
      <u/>
      <sz val="11"/>
      <name val="Calibri"/>
      <family val="2"/>
      <scheme val="minor"/>
    </font>
    <font>
      <sz val="10"/>
      <name val="Calibri"/>
      <family val="2"/>
      <scheme val="minor"/>
    </font>
    <font>
      <b/>
      <i/>
      <sz val="11"/>
      <name val="Calibri"/>
      <family val="2"/>
      <scheme val="minor"/>
    </font>
    <font>
      <u/>
      <sz val="11"/>
      <name val="Calibri"/>
      <family val="2"/>
      <scheme val="minor"/>
    </font>
    <font>
      <i/>
      <sz val="10"/>
      <name val="Calibri"/>
      <family val="2"/>
      <scheme val="minor"/>
    </font>
    <font>
      <i/>
      <sz val="11"/>
      <name val="Calibri"/>
      <family val="2"/>
      <scheme val="minor"/>
    </font>
    <font>
      <b/>
      <i/>
      <sz val="10"/>
      <name val="Calibri"/>
      <family val="2"/>
      <scheme val="minor"/>
    </font>
  </fonts>
  <fills count="19">
    <fill>
      <patternFill patternType="none"/>
    </fill>
    <fill>
      <patternFill patternType="gray125"/>
    </fill>
    <fill>
      <patternFill patternType="solid">
        <fgColor rgb="FF99FF9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4"/>
        <bgColor indexed="64"/>
      </patternFill>
    </fill>
    <fill>
      <patternFill patternType="solid">
        <fgColor rgb="FF00B050"/>
        <bgColor indexed="64"/>
      </patternFill>
    </fill>
    <fill>
      <patternFill patternType="solid">
        <fgColor theme="5" tint="0.39997558519241921"/>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99CCFF"/>
        <bgColor indexed="64"/>
      </patternFill>
    </fill>
    <fill>
      <patternFill patternType="solid">
        <fgColor theme="6" tint="0.79998168889431442"/>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9">
    <xf numFmtId="0" fontId="0"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14" fillId="0" borderId="0"/>
    <xf numFmtId="164" fontId="14" fillId="0" borderId="0" applyFont="0" applyFill="0" applyBorder="0" applyAlignment="0" applyProtection="0"/>
    <xf numFmtId="165"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9" fillId="0" borderId="0" applyFill="0" applyBorder="0" applyAlignment="0" applyProtection="0"/>
    <xf numFmtId="172" fontId="14" fillId="0" borderId="0" applyFont="0" applyFill="0" applyBorder="0" applyAlignment="0" applyProtection="0"/>
  </cellStyleXfs>
  <cellXfs count="243">
    <xf numFmtId="0" fontId="0" fillId="0" borderId="0" xfId="0"/>
    <xf numFmtId="0" fontId="1" fillId="0" borderId="0" xfId="0" applyFont="1"/>
    <xf numFmtId="0" fontId="3" fillId="0" borderId="0" xfId="0" applyFont="1"/>
    <xf numFmtId="167" fontId="1" fillId="0" borderId="0" xfId="0" applyNumberFormat="1" applyFont="1" applyAlignment="1">
      <alignment horizontal="left"/>
    </xf>
    <xf numFmtId="0" fontId="1" fillId="0" borderId="0" xfId="0" quotePrefix="1" applyFont="1"/>
    <xf numFmtId="0" fontId="6" fillId="0" borderId="0" xfId="0" applyFont="1"/>
    <xf numFmtId="0" fontId="8" fillId="0" borderId="0" xfId="0" applyFont="1" applyAlignment="1">
      <alignment horizontal="left"/>
    </xf>
    <xf numFmtId="0" fontId="9" fillId="0" borderId="0" xfId="0" applyFont="1"/>
    <xf numFmtId="169" fontId="0" fillId="0" borderId="0" xfId="5" applyNumberFormat="1" applyFont="1"/>
    <xf numFmtId="0" fontId="8" fillId="0" borderId="0" xfId="0" applyFont="1" applyAlignment="1">
      <alignment horizontal="right"/>
    </xf>
    <xf numFmtId="0" fontId="7" fillId="0" borderId="0" xfId="0" applyFont="1" applyAlignment="1">
      <alignment horizontal="right"/>
    </xf>
    <xf numFmtId="169" fontId="7" fillId="0" borderId="0" xfId="5" applyNumberFormat="1" applyFont="1" applyAlignment="1">
      <alignment horizontal="right"/>
    </xf>
    <xf numFmtId="167" fontId="12" fillId="0" borderId="0" xfId="0" applyNumberFormat="1" applyFont="1" applyAlignment="1">
      <alignment horizontal="right"/>
    </xf>
    <xf numFmtId="0" fontId="3" fillId="0" borderId="0" xfId="0" applyFont="1" applyAlignment="1">
      <alignment horizontal="left" indent="3"/>
    </xf>
    <xf numFmtId="0" fontId="0" fillId="3" borderId="2" xfId="0" applyFill="1" applyBorder="1" applyAlignment="1">
      <alignment horizontal="center" wrapText="1"/>
    </xf>
    <xf numFmtId="0" fontId="0" fillId="3" borderId="0" xfId="0" applyFill="1"/>
    <xf numFmtId="0" fontId="0" fillId="4" borderId="2" xfId="0" applyFill="1" applyBorder="1" applyAlignment="1">
      <alignment horizontal="center" wrapText="1"/>
    </xf>
    <xf numFmtId="0" fontId="0" fillId="4" borderId="0" xfId="0" applyFill="1"/>
    <xf numFmtId="0" fontId="0" fillId="5" borderId="2" xfId="0" applyFill="1" applyBorder="1" applyAlignment="1">
      <alignment horizontal="center" wrapText="1"/>
    </xf>
    <xf numFmtId="0" fontId="0" fillId="5" borderId="0" xfId="0" applyFill="1"/>
    <xf numFmtId="0" fontId="0" fillId="6" borderId="2" xfId="0" applyFill="1" applyBorder="1" applyAlignment="1">
      <alignment horizontal="center" wrapText="1"/>
    </xf>
    <xf numFmtId="0" fontId="0" fillId="6" borderId="0" xfId="0" applyFill="1"/>
    <xf numFmtId="0" fontId="0" fillId="7" borderId="2" xfId="0" applyFill="1" applyBorder="1" applyAlignment="1">
      <alignment horizontal="center" wrapText="1"/>
    </xf>
    <xf numFmtId="0" fontId="0" fillId="7" borderId="0" xfId="0" applyFill="1"/>
    <xf numFmtId="0" fontId="7" fillId="0" borderId="0" xfId="0" applyFont="1"/>
    <xf numFmtId="0" fontId="7" fillId="0" borderId="0" xfId="0" quotePrefix="1" applyFont="1"/>
    <xf numFmtId="0" fontId="9" fillId="0" borderId="0" xfId="0" applyFont="1" applyAlignment="1">
      <alignment vertical="top"/>
    </xf>
    <xf numFmtId="0" fontId="0" fillId="8" borderId="2" xfId="0" applyFill="1" applyBorder="1" applyAlignment="1">
      <alignment horizontal="center" wrapText="1"/>
    </xf>
    <xf numFmtId="0" fontId="0" fillId="8" borderId="0" xfId="0" applyFill="1"/>
    <xf numFmtId="0" fontId="0" fillId="9" borderId="2" xfId="0" applyFill="1" applyBorder="1" applyAlignment="1">
      <alignment horizontal="center" wrapText="1"/>
    </xf>
    <xf numFmtId="0" fontId="0" fillId="9" borderId="0" xfId="0" applyFill="1"/>
    <xf numFmtId="0" fontId="0" fillId="10" borderId="2" xfId="0" applyFill="1" applyBorder="1" applyAlignment="1">
      <alignment horizontal="center" wrapText="1"/>
    </xf>
    <xf numFmtId="0" fontId="0" fillId="10" borderId="0" xfId="0" applyFill="1"/>
    <xf numFmtId="0" fontId="0" fillId="11" borderId="4" xfId="0" applyFill="1" applyBorder="1" applyAlignment="1">
      <alignment horizontal="center" wrapText="1"/>
    </xf>
    <xf numFmtId="0" fontId="0" fillId="11" borderId="5" xfId="0" applyFill="1" applyBorder="1"/>
    <xf numFmtId="0" fontId="0" fillId="12" borderId="2" xfId="0" applyFill="1" applyBorder="1" applyAlignment="1">
      <alignment horizontal="center" wrapText="1"/>
    </xf>
    <xf numFmtId="0" fontId="0" fillId="12" borderId="0" xfId="0" applyFill="1"/>
    <xf numFmtId="0" fontId="6" fillId="0" borderId="0" xfId="0" applyFont="1" applyAlignment="1">
      <alignment horizontal="center"/>
    </xf>
    <xf numFmtId="0" fontId="3" fillId="0" borderId="0" xfId="0" applyFont="1" applyAlignment="1">
      <alignment wrapText="1"/>
    </xf>
    <xf numFmtId="0" fontId="1" fillId="13" borderId="0" xfId="0" applyFont="1" applyFill="1"/>
    <xf numFmtId="0" fontId="0" fillId="13" borderId="0" xfId="0" applyFill="1"/>
    <xf numFmtId="0" fontId="3" fillId="13" borderId="0" xfId="0" applyFont="1" applyFill="1" applyAlignment="1">
      <alignment wrapText="1"/>
    </xf>
    <xf numFmtId="170" fontId="0" fillId="0" borderId="0" xfId="0" applyNumberFormat="1"/>
    <xf numFmtId="170" fontId="0" fillId="0" borderId="2" xfId="2" applyNumberFormat="1" applyFont="1" applyFill="1" applyBorder="1"/>
    <xf numFmtId="170" fontId="0" fillId="0" borderId="2" xfId="2" applyNumberFormat="1" applyFont="1" applyBorder="1"/>
    <xf numFmtId="170" fontId="0" fillId="0" borderId="0" xfId="2" applyNumberFormat="1" applyFont="1" applyFill="1" applyBorder="1"/>
    <xf numFmtId="170" fontId="0" fillId="0" borderId="0" xfId="2" applyNumberFormat="1" applyFont="1" applyBorder="1"/>
    <xf numFmtId="170" fontId="1" fillId="0" borderId="2" xfId="0" applyNumberFormat="1" applyFont="1" applyBorder="1"/>
    <xf numFmtId="170" fontId="13" fillId="0" borderId="2" xfId="2" applyNumberFormat="1" applyFont="1" applyFill="1" applyBorder="1"/>
    <xf numFmtId="170" fontId="0" fillId="0" borderId="0" xfId="2" applyNumberFormat="1" applyFont="1" applyFill="1"/>
    <xf numFmtId="170" fontId="0" fillId="0" borderId="0" xfId="2" applyNumberFormat="1" applyFont="1"/>
    <xf numFmtId="170" fontId="13" fillId="0" borderId="2" xfId="2" applyNumberFormat="1" applyFont="1" applyBorder="1"/>
    <xf numFmtId="168" fontId="0" fillId="0" borderId="0" xfId="4" applyNumberFormat="1" applyFont="1"/>
    <xf numFmtId="170" fontId="3" fillId="0" borderId="2" xfId="2" applyNumberFormat="1" applyFont="1" applyFill="1" applyBorder="1"/>
    <xf numFmtId="170" fontId="3" fillId="0" borderId="2" xfId="2" applyNumberFormat="1" applyFont="1" applyBorder="1"/>
    <xf numFmtId="0" fontId="0" fillId="0" borderId="0" xfId="0" applyAlignment="1">
      <alignment horizontal="left" vertical="top" wrapText="1"/>
    </xf>
    <xf numFmtId="9" fontId="0" fillId="2" borderId="6" xfId="0" applyNumberFormat="1" applyFill="1" applyBorder="1" applyAlignment="1">
      <alignment horizontal="center"/>
    </xf>
    <xf numFmtId="0" fontId="3" fillId="14" borderId="2" xfId="0" applyFont="1" applyFill="1" applyBorder="1" applyAlignment="1">
      <alignment horizontal="center" wrapText="1"/>
    </xf>
    <xf numFmtId="0" fontId="3" fillId="14" borderId="0" xfId="0" applyFont="1" applyFill="1"/>
    <xf numFmtId="169" fontId="0" fillId="0" borderId="0" xfId="5" applyNumberFormat="1" applyFont="1" applyFill="1"/>
    <xf numFmtId="0" fontId="10" fillId="0" borderId="0" xfId="0" applyFont="1" applyAlignment="1">
      <alignment horizontal="left"/>
    </xf>
    <xf numFmtId="0" fontId="11" fillId="0" borderId="0" xfId="0" applyFont="1" applyAlignment="1">
      <alignment horizontal="right"/>
    </xf>
    <xf numFmtId="168" fontId="11" fillId="0" borderId="0" xfId="4" applyNumberFormat="1" applyFont="1" applyFill="1"/>
    <xf numFmtId="0" fontId="15" fillId="0" borderId="0" xfId="0" applyFont="1"/>
    <xf numFmtId="0" fontId="11" fillId="0" borderId="0" xfId="0" applyFont="1"/>
    <xf numFmtId="169" fontId="11" fillId="0" borderId="0" xfId="5" applyNumberFormat="1" applyFont="1" applyFill="1"/>
    <xf numFmtId="0" fontId="4" fillId="0" borderId="0" xfId="0" applyFont="1"/>
    <xf numFmtId="0" fontId="5" fillId="0" borderId="0" xfId="0" applyFont="1"/>
    <xf numFmtId="3" fontId="4" fillId="0" borderId="0" xfId="0" applyNumberFormat="1" applyFont="1"/>
    <xf numFmtId="3" fontId="8" fillId="0" borderId="0" xfId="0" quotePrefix="1" applyNumberFormat="1" applyFont="1" applyAlignment="1">
      <alignment horizontal="right" wrapText="1"/>
    </xf>
    <xf numFmtId="0" fontId="8" fillId="0" borderId="0" xfId="0" applyFont="1" applyAlignment="1">
      <alignment horizontal="right" wrapText="1"/>
    </xf>
    <xf numFmtId="3" fontId="8" fillId="0" borderId="0" xfId="0" quotePrefix="1" applyNumberFormat="1" applyFont="1" applyAlignment="1">
      <alignment horizontal="right"/>
    </xf>
    <xf numFmtId="0" fontId="12" fillId="0" borderId="0" xfId="0" applyFont="1" applyAlignment="1">
      <alignment horizontal="right"/>
    </xf>
    <xf numFmtId="0" fontId="0" fillId="15" borderId="0" xfId="0" applyFill="1"/>
    <xf numFmtId="168" fontId="3" fillId="15" borderId="6" xfId="4" applyNumberFormat="1" applyFont="1" applyFill="1" applyBorder="1"/>
    <xf numFmtId="168" fontId="3" fillId="0" borderId="6" xfId="4" applyNumberFormat="1" applyFont="1" applyFill="1" applyBorder="1"/>
    <xf numFmtId="168" fontId="0" fillId="0" borderId="0" xfId="4" applyNumberFormat="1" applyFont="1" applyFill="1"/>
    <xf numFmtId="170" fontId="3" fillId="0" borderId="3" xfId="0" applyNumberFormat="1" applyFont="1" applyBorder="1"/>
    <xf numFmtId="170" fontId="3" fillId="0" borderId="0" xfId="0" applyNumberFormat="1" applyFont="1"/>
    <xf numFmtId="168" fontId="0" fillId="0" borderId="0" xfId="0" applyNumberFormat="1"/>
    <xf numFmtId="168" fontId="3" fillId="0" borderId="7" xfId="4" applyNumberFormat="1" applyFont="1" applyBorder="1"/>
    <xf numFmtId="44" fontId="0" fillId="0" borderId="0" xfId="0" applyNumberFormat="1"/>
    <xf numFmtId="0" fontId="0" fillId="0" borderId="0" xfId="0" applyAlignment="1">
      <alignment horizontal="right"/>
    </xf>
    <xf numFmtId="166" fontId="0" fillId="0" borderId="0" xfId="0" applyNumberFormat="1"/>
    <xf numFmtId="168" fontId="3" fillId="0" borderId="0" xfId="4" applyNumberFormat="1" applyFont="1" applyFill="1" applyBorder="1"/>
    <xf numFmtId="166" fontId="3" fillId="0" borderId="0" xfId="0" applyNumberFormat="1" applyFont="1"/>
    <xf numFmtId="168" fontId="0" fillId="0" borderId="0" xfId="4" applyNumberFormat="1" applyFont="1" applyBorder="1"/>
    <xf numFmtId="166" fontId="3" fillId="0" borderId="7" xfId="0" applyNumberFormat="1" applyFont="1" applyBorder="1"/>
    <xf numFmtId="170" fontId="0" fillId="0" borderId="1" xfId="0" applyNumberFormat="1" applyBorder="1"/>
    <xf numFmtId="0" fontId="17" fillId="0" borderId="0" xfId="0" applyFont="1"/>
    <xf numFmtId="170" fontId="1" fillId="0" borderId="3" xfId="0" applyNumberFormat="1" applyFont="1" applyBorder="1"/>
    <xf numFmtId="173" fontId="20" fillId="0" borderId="0" xfId="28" applyNumberFormat="1" applyFont="1" applyFill="1" applyBorder="1"/>
    <xf numFmtId="3" fontId="0" fillId="0" borderId="0" xfId="0" applyNumberFormat="1"/>
    <xf numFmtId="3" fontId="7" fillId="0" borderId="0" xfId="0" applyNumberFormat="1" applyFont="1" applyAlignment="1">
      <alignment horizontal="right"/>
    </xf>
    <xf numFmtId="3" fontId="11" fillId="0" borderId="0" xfId="0" applyNumberFormat="1" applyFont="1"/>
    <xf numFmtId="171" fontId="9" fillId="6" borderId="0" xfId="2" applyNumberFormat="1" applyFont="1" applyFill="1"/>
    <xf numFmtId="171" fontId="9" fillId="3" borderId="0" xfId="2" applyNumberFormat="1" applyFont="1" applyFill="1"/>
    <xf numFmtId="171" fontId="9" fillId="7" borderId="0" xfId="2" applyNumberFormat="1" applyFont="1" applyFill="1"/>
    <xf numFmtId="171" fontId="9" fillId="8" borderId="0" xfId="2" applyNumberFormat="1" applyFont="1" applyFill="1"/>
    <xf numFmtId="171" fontId="9" fillId="9" borderId="0" xfId="2" applyNumberFormat="1" applyFont="1" applyFill="1"/>
    <xf numFmtId="171" fontId="9" fillId="10" borderId="0" xfId="2" applyNumberFormat="1" applyFont="1" applyFill="1"/>
    <xf numFmtId="171" fontId="9" fillId="12" borderId="0" xfId="2" applyNumberFormat="1" applyFont="1" applyFill="1"/>
    <xf numFmtId="171" fontId="9" fillId="11" borderId="5" xfId="2" applyNumberFormat="1" applyFont="1" applyFill="1" applyBorder="1"/>
    <xf numFmtId="171" fontId="21" fillId="14" borderId="0" xfId="1" applyNumberFormat="1" applyFont="1" applyFill="1"/>
    <xf numFmtId="171" fontId="9" fillId="5" borderId="0" xfId="2" applyNumberFormat="1" applyFont="1" applyFill="1"/>
    <xf numFmtId="171" fontId="9" fillId="4" borderId="0" xfId="2" applyNumberFormat="1" applyFont="1" applyFill="1"/>
    <xf numFmtId="171" fontId="4" fillId="0" borderId="0" xfId="0" applyNumberFormat="1" applyFont="1"/>
    <xf numFmtId="0" fontId="22" fillId="0" borderId="0" xfId="0" applyFont="1" applyAlignment="1">
      <alignment horizontal="left"/>
    </xf>
    <xf numFmtId="0" fontId="23" fillId="0" borderId="0" xfId="0" applyFont="1"/>
    <xf numFmtId="166" fontId="9" fillId="5" borderId="0" xfId="2" applyNumberFormat="1" applyFont="1" applyFill="1"/>
    <xf numFmtId="166" fontId="9" fillId="4" borderId="0" xfId="2" applyNumberFormat="1" applyFont="1" applyFill="1"/>
    <xf numFmtId="166" fontId="9" fillId="6" borderId="0" xfId="2" applyNumberFormat="1" applyFont="1" applyFill="1"/>
    <xf numFmtId="166" fontId="9" fillId="3" borderId="0" xfId="2" applyNumberFormat="1" applyFont="1" applyFill="1"/>
    <xf numFmtId="166" fontId="9" fillId="7" borderId="0" xfId="2" applyNumberFormat="1" applyFont="1" applyFill="1"/>
    <xf numFmtId="166" fontId="9" fillId="8" borderId="0" xfId="2" applyNumberFormat="1" applyFont="1" applyFill="1"/>
    <xf numFmtId="166" fontId="9" fillId="9" borderId="0" xfId="2" applyNumberFormat="1" applyFont="1" applyFill="1"/>
    <xf numFmtId="166" fontId="9" fillId="10" borderId="0" xfId="2" applyNumberFormat="1" applyFont="1" applyFill="1"/>
    <xf numFmtId="166" fontId="9" fillId="12" borderId="0" xfId="2" applyNumberFormat="1" applyFont="1" applyFill="1"/>
    <xf numFmtId="166" fontId="9" fillId="11" borderId="5" xfId="2" applyNumberFormat="1" applyFont="1" applyFill="1" applyBorder="1"/>
    <xf numFmtId="0" fontId="21" fillId="14" borderId="0" xfId="0" applyFont="1" applyFill="1"/>
    <xf numFmtId="169" fontId="9" fillId="0" borderId="0" xfId="5" applyNumberFormat="1" applyFont="1"/>
    <xf numFmtId="3" fontId="9" fillId="0" borderId="0" xfId="0" applyNumberFormat="1" applyFont="1"/>
    <xf numFmtId="0" fontId="24" fillId="0" borderId="0" xfId="0" applyFont="1" applyAlignment="1">
      <alignment horizontal="left"/>
    </xf>
    <xf numFmtId="171" fontId="9" fillId="0" borderId="0" xfId="0" applyNumberFormat="1" applyFont="1"/>
    <xf numFmtId="169" fontId="9" fillId="0" borderId="0" xfId="0" applyNumberFormat="1" applyFont="1"/>
    <xf numFmtId="0" fontId="25" fillId="0" borderId="0" xfId="0" applyFont="1"/>
    <xf numFmtId="171" fontId="9" fillId="5" borderId="2" xfId="2" applyNumberFormat="1" applyFont="1" applyFill="1" applyBorder="1"/>
    <xf numFmtId="171" fontId="9" fillId="4" borderId="2" xfId="2" applyNumberFormat="1" applyFont="1" applyFill="1" applyBorder="1"/>
    <xf numFmtId="171" fontId="9" fillId="6" borderId="2" xfId="2" applyNumberFormat="1" applyFont="1" applyFill="1" applyBorder="1"/>
    <xf numFmtId="171" fontId="9" fillId="3" borderId="2" xfId="2" applyNumberFormat="1" applyFont="1" applyFill="1" applyBorder="1"/>
    <xf numFmtId="171" fontId="9" fillId="7" borderId="2" xfId="2" applyNumberFormat="1" applyFont="1" applyFill="1" applyBorder="1"/>
    <xf numFmtId="171" fontId="9" fillId="8" borderId="2" xfId="2" applyNumberFormat="1" applyFont="1" applyFill="1" applyBorder="1"/>
    <xf numFmtId="171" fontId="9" fillId="9" borderId="2" xfId="2" applyNumberFormat="1" applyFont="1" applyFill="1" applyBorder="1"/>
    <xf numFmtId="171" fontId="9" fillId="10" borderId="2" xfId="2" applyNumberFormat="1" applyFont="1" applyFill="1" applyBorder="1"/>
    <xf numFmtId="171" fontId="9" fillId="12" borderId="2" xfId="2" applyNumberFormat="1" applyFont="1" applyFill="1" applyBorder="1"/>
    <xf numFmtId="171" fontId="9" fillId="11" borderId="4" xfId="2" applyNumberFormat="1" applyFont="1" applyFill="1" applyBorder="1"/>
    <xf numFmtId="171" fontId="21" fillId="14" borderId="2" xfId="1" applyNumberFormat="1" applyFont="1" applyFill="1" applyBorder="1"/>
    <xf numFmtId="0" fontId="26" fillId="0" borderId="0" xfId="0" applyFont="1"/>
    <xf numFmtId="171" fontId="9" fillId="11" borderId="0" xfId="2" applyNumberFormat="1" applyFont="1" applyFill="1"/>
    <xf numFmtId="10" fontId="21" fillId="14" borderId="17" xfId="1" applyNumberFormat="1" applyFont="1" applyFill="1" applyBorder="1"/>
    <xf numFmtId="10" fontId="21" fillId="14" borderId="18" xfId="1" applyNumberFormat="1" applyFont="1" applyFill="1" applyBorder="1"/>
    <xf numFmtId="3" fontId="24" fillId="0" borderId="0" xfId="0" quotePrefix="1" applyNumberFormat="1" applyFont="1" applyAlignment="1">
      <alignment horizontal="left"/>
    </xf>
    <xf numFmtId="3" fontId="24" fillId="0" borderId="0" xfId="0" quotePrefix="1" applyNumberFormat="1" applyFont="1" applyAlignment="1">
      <alignment horizontal="left" wrapText="1"/>
    </xf>
    <xf numFmtId="0" fontId="19" fillId="0" borderId="0" xfId="27" applyFill="1" applyAlignment="1">
      <alignment vertical="top"/>
    </xf>
    <xf numFmtId="3" fontId="24" fillId="0" borderId="0" xfId="0" applyNumberFormat="1" applyFont="1" applyAlignment="1">
      <alignment horizontal="left"/>
    </xf>
    <xf numFmtId="10" fontId="21" fillId="14" borderId="0" xfId="1" applyNumberFormat="1" applyFont="1" applyFill="1"/>
    <xf numFmtId="171" fontId="9" fillId="5" borderId="0" xfId="2" applyNumberFormat="1" applyFont="1" applyFill="1" applyBorder="1"/>
    <xf numFmtId="171" fontId="9" fillId="4" borderId="0" xfId="2" applyNumberFormat="1" applyFont="1" applyFill="1" applyBorder="1"/>
    <xf numFmtId="171" fontId="9" fillId="6" borderId="0" xfId="2" applyNumberFormat="1" applyFont="1" applyFill="1" applyBorder="1"/>
    <xf numFmtId="171" fontId="9" fillId="3" borderId="0" xfId="2" applyNumberFormat="1" applyFont="1" applyFill="1" applyBorder="1"/>
    <xf numFmtId="171" fontId="9" fillId="7" borderId="0" xfId="2" applyNumberFormat="1" applyFont="1" applyFill="1" applyBorder="1"/>
    <xf numFmtId="171" fontId="9" fillId="8" borderId="0" xfId="2" applyNumberFormat="1" applyFont="1" applyFill="1" applyBorder="1"/>
    <xf numFmtId="171" fontId="9" fillId="9" borderId="0" xfId="2" applyNumberFormat="1" applyFont="1" applyFill="1" applyBorder="1"/>
    <xf numFmtId="171" fontId="9" fillId="10" borderId="0" xfId="2" applyNumberFormat="1" applyFont="1" applyFill="1" applyBorder="1"/>
    <xf numFmtId="171" fontId="9" fillId="12" borderId="0" xfId="2" applyNumberFormat="1" applyFont="1" applyFill="1" applyBorder="1"/>
    <xf numFmtId="10" fontId="21" fillId="14" borderId="0" xfId="1" applyNumberFormat="1" applyFont="1" applyFill="1" applyBorder="1"/>
    <xf numFmtId="171" fontId="21" fillId="14" borderId="0" xfId="1" applyNumberFormat="1" applyFont="1" applyFill="1" applyBorder="1"/>
    <xf numFmtId="0" fontId="21" fillId="0" borderId="0" xfId="0" applyFont="1"/>
    <xf numFmtId="171" fontId="21" fillId="5" borderId="2" xfId="2" applyNumberFormat="1" applyFont="1" applyFill="1" applyBorder="1"/>
    <xf numFmtId="171" fontId="21" fillId="4" borderId="2" xfId="2" applyNumberFormat="1" applyFont="1" applyFill="1" applyBorder="1"/>
    <xf numFmtId="171" fontId="21" fillId="7" borderId="2" xfId="2" applyNumberFormat="1" applyFont="1" applyFill="1" applyBorder="1"/>
    <xf numFmtId="171" fontId="21" fillId="9" borderId="2" xfId="2" applyNumberFormat="1" applyFont="1" applyFill="1" applyBorder="1"/>
    <xf numFmtId="171" fontId="21" fillId="12" borderId="2" xfId="2" applyNumberFormat="1" applyFont="1" applyFill="1" applyBorder="1"/>
    <xf numFmtId="171" fontId="21" fillId="11" borderId="4" xfId="2" applyNumberFormat="1" applyFont="1" applyFill="1" applyBorder="1"/>
    <xf numFmtId="171" fontId="21" fillId="14" borderId="2" xfId="2" applyNumberFormat="1" applyFont="1" applyFill="1" applyBorder="1"/>
    <xf numFmtId="166" fontId="9" fillId="0" borderId="0" xfId="2" applyNumberFormat="1" applyFont="1" applyFill="1"/>
    <xf numFmtId="10" fontId="22" fillId="0" borderId="0" xfId="1" applyNumberFormat="1" applyFont="1" applyFill="1"/>
    <xf numFmtId="169" fontId="9" fillId="0" borderId="0" xfId="5" applyNumberFormat="1" applyFont="1" applyFill="1"/>
    <xf numFmtId="0" fontId="27" fillId="0" borderId="0" xfId="0" applyFont="1" applyAlignment="1">
      <alignment horizontal="left"/>
    </xf>
    <xf numFmtId="0" fontId="28" fillId="0" borderId="0" xfId="0" applyFont="1" applyAlignment="1">
      <alignment horizontal="right"/>
    </xf>
    <xf numFmtId="168" fontId="28" fillId="0" borderId="0" xfId="4" applyNumberFormat="1" applyFont="1" applyFill="1"/>
    <xf numFmtId="0" fontId="29" fillId="0" borderId="0" xfId="0" applyFont="1"/>
    <xf numFmtId="0" fontId="28" fillId="0" borderId="0" xfId="0" applyFont="1"/>
    <xf numFmtId="169" fontId="28" fillId="0" borderId="0" xfId="5" applyNumberFormat="1" applyFont="1" applyFill="1"/>
    <xf numFmtId="3" fontId="28" fillId="0" borderId="0" xfId="0" applyNumberFormat="1" applyFont="1"/>
    <xf numFmtId="170" fontId="7" fillId="0" borderId="0" xfId="0" applyNumberFormat="1" applyFont="1"/>
    <xf numFmtId="171" fontId="9" fillId="11" borderId="0" xfId="2" applyNumberFormat="1" applyFont="1" applyFill="1" applyBorder="1"/>
    <xf numFmtId="171" fontId="21" fillId="14" borderId="18" xfId="1" applyNumberFormat="1" applyFont="1" applyFill="1" applyBorder="1"/>
    <xf numFmtId="171" fontId="21" fillId="14" borderId="19" xfId="1" applyNumberFormat="1" applyFont="1" applyFill="1" applyBorder="1"/>
    <xf numFmtId="170" fontId="1" fillId="0" borderId="0" xfId="0" applyNumberFormat="1" applyFont="1"/>
    <xf numFmtId="166" fontId="3" fillId="13" borderId="0" xfId="0" applyNumberFormat="1" applyFont="1" applyFill="1"/>
    <xf numFmtId="44" fontId="16" fillId="0" borderId="0" xfId="0" applyNumberFormat="1" applyFont="1"/>
    <xf numFmtId="0" fontId="16" fillId="0" borderId="0" xfId="0" applyFont="1"/>
    <xf numFmtId="168" fontId="0" fillId="16" borderId="0" xfId="4" applyNumberFormat="1" applyFont="1" applyFill="1"/>
    <xf numFmtId="0" fontId="0" fillId="16" borderId="0" xfId="0" applyFill="1"/>
    <xf numFmtId="0" fontId="0" fillId="0" borderId="0" xfId="0" quotePrefix="1"/>
    <xf numFmtId="0" fontId="0" fillId="0" borderId="0" xfId="0" quotePrefix="1" applyAlignment="1">
      <alignment vertical="top" wrapText="1"/>
    </xf>
    <xf numFmtId="168" fontId="9" fillId="0" borderId="0" xfId="4" applyNumberFormat="1" applyFont="1" applyFill="1"/>
    <xf numFmtId="170" fontId="0" fillId="0" borderId="0" xfId="0" applyNumberFormat="1" applyAlignment="1">
      <alignment wrapText="1"/>
    </xf>
    <xf numFmtId="170" fontId="2" fillId="0" borderId="2" xfId="2" applyNumberFormat="1" applyFont="1" applyFill="1" applyBorder="1"/>
    <xf numFmtId="0" fontId="0" fillId="17" borderId="2" xfId="0" applyFill="1" applyBorder="1" applyAlignment="1">
      <alignment horizontal="center" wrapText="1"/>
    </xf>
    <xf numFmtId="0" fontId="0" fillId="17" borderId="0" xfId="0" applyFill="1"/>
    <xf numFmtId="166" fontId="9" fillId="17" borderId="0" xfId="2" applyNumberFormat="1" applyFont="1" applyFill="1"/>
    <xf numFmtId="171" fontId="9" fillId="17" borderId="0" xfId="2" applyNumberFormat="1" applyFont="1" applyFill="1"/>
    <xf numFmtId="171" fontId="9" fillId="17" borderId="2" xfId="2" applyNumberFormat="1" applyFont="1" applyFill="1" applyBorder="1"/>
    <xf numFmtId="171" fontId="9" fillId="17" borderId="0" xfId="2" applyNumberFormat="1" applyFont="1" applyFill="1" applyBorder="1"/>
    <xf numFmtId="171" fontId="21" fillId="17" borderId="2" xfId="2" applyNumberFormat="1" applyFont="1" applyFill="1" applyBorder="1"/>
    <xf numFmtId="0" fontId="0" fillId="18" borderId="2" xfId="0" applyFill="1" applyBorder="1" applyAlignment="1">
      <alignment horizontal="center" wrapText="1"/>
    </xf>
    <xf numFmtId="0" fontId="0" fillId="18" borderId="0" xfId="0" applyFill="1"/>
    <xf numFmtId="166" fontId="9" fillId="18" borderId="0" xfId="2" applyNumberFormat="1" applyFont="1" applyFill="1"/>
    <xf numFmtId="171" fontId="9" fillId="18" borderId="0" xfId="2" applyNumberFormat="1" applyFont="1" applyFill="1"/>
    <xf numFmtId="171" fontId="9" fillId="18" borderId="2" xfId="2" applyNumberFormat="1" applyFont="1" applyFill="1" applyBorder="1"/>
    <xf numFmtId="171" fontId="9" fillId="18" borderId="0" xfId="2" applyNumberFormat="1" applyFont="1" applyFill="1" applyBorder="1"/>
    <xf numFmtId="170" fontId="0" fillId="0" borderId="2" xfId="0" applyNumberFormat="1" applyBorder="1"/>
    <xf numFmtId="4" fontId="0" fillId="0" borderId="0" xfId="0" applyNumberFormat="1"/>
    <xf numFmtId="4" fontId="7" fillId="0" borderId="0" xfId="0" applyNumberFormat="1" applyFont="1"/>
    <xf numFmtId="164" fontId="0" fillId="0" borderId="0" xfId="4" applyFont="1" applyFill="1"/>
    <xf numFmtId="168" fontId="3" fillId="0" borderId="7" xfId="4" applyNumberFormat="1" applyFont="1" applyFill="1" applyBorder="1"/>
    <xf numFmtId="4" fontId="3" fillId="0" borderId="0" xfId="0" applyNumberFormat="1" applyFont="1"/>
    <xf numFmtId="164" fontId="9" fillId="0" borderId="0" xfId="4" applyFont="1"/>
    <xf numFmtId="168" fontId="3" fillId="0" borderId="0" xfId="4" applyNumberFormat="1" applyFont="1" applyFill="1"/>
    <xf numFmtId="164" fontId="3" fillId="0" borderId="0" xfId="4" applyFont="1" applyFill="1"/>
    <xf numFmtId="168" fontId="3" fillId="0" borderId="0" xfId="4" applyNumberFormat="1" applyFont="1"/>
    <xf numFmtId="169" fontId="9" fillId="5" borderId="0" xfId="2" applyNumberFormat="1" applyFont="1" applyFill="1"/>
    <xf numFmtId="169" fontId="9" fillId="7" borderId="0" xfId="2" applyNumberFormat="1" applyFont="1" applyFill="1"/>
    <xf numFmtId="169" fontId="21" fillId="10" borderId="2" xfId="2" applyNumberFormat="1" applyFont="1" applyFill="1" applyBorder="1"/>
    <xf numFmtId="169" fontId="21" fillId="8" borderId="2" xfId="2" applyNumberFormat="1" applyFont="1" applyFill="1" applyBorder="1"/>
    <xf numFmtId="169" fontId="21" fillId="3" borderId="2" xfId="2" applyNumberFormat="1" applyFont="1" applyFill="1" applyBorder="1"/>
    <xf numFmtId="169" fontId="21" fillId="6" borderId="2" xfId="2" applyNumberFormat="1" applyFont="1" applyFill="1" applyBorder="1"/>
    <xf numFmtId="169" fontId="21" fillId="18" borderId="2" xfId="2" applyNumberFormat="1" applyFont="1" applyFill="1" applyBorder="1"/>
    <xf numFmtId="164" fontId="0" fillId="0" borderId="0" xfId="0" applyNumberFormat="1"/>
    <xf numFmtId="168" fontId="21" fillId="0" borderId="0" xfId="4" applyNumberFormat="1" applyFont="1"/>
    <xf numFmtId="168" fontId="21" fillId="0" borderId="0" xfId="4" applyNumberFormat="1" applyFont="1" applyFill="1"/>
    <xf numFmtId="164" fontId="21" fillId="0" borderId="0" xfId="4" applyFont="1" applyFill="1"/>
    <xf numFmtId="170" fontId="2" fillId="0" borderId="0" xfId="2" applyNumberFormat="1" applyFont="1" applyFill="1" applyBorder="1"/>
    <xf numFmtId="170" fontId="0" fillId="0" borderId="2" xfId="0" applyNumberFormat="1" applyBorder="1" applyAlignment="1">
      <alignment wrapText="1"/>
    </xf>
    <xf numFmtId="164" fontId="9" fillId="0" borderId="0" xfId="4" applyFont="1" applyFill="1"/>
    <xf numFmtId="44" fontId="0" fillId="0" borderId="0" xfId="0" quotePrefix="1" applyNumberFormat="1"/>
    <xf numFmtId="0" fontId="3" fillId="0" borderId="0" xfId="0" applyFont="1" applyAlignment="1">
      <alignment horizontal="right"/>
    </xf>
    <xf numFmtId="164" fontId="3" fillId="0" borderId="7" xfId="4" applyFont="1" applyFill="1" applyBorder="1"/>
    <xf numFmtId="0" fontId="0" fillId="15" borderId="14" xfId="0" quotePrefix="1" applyFill="1" applyBorder="1" applyAlignment="1">
      <alignment horizontal="left" wrapText="1"/>
    </xf>
    <xf numFmtId="0" fontId="0" fillId="15" borderId="15" xfId="0" quotePrefix="1" applyFill="1" applyBorder="1" applyAlignment="1">
      <alignment horizontal="left" wrapText="1"/>
    </xf>
    <xf numFmtId="0" fontId="0" fillId="15" borderId="16" xfId="0" quotePrefix="1" applyFill="1" applyBorder="1" applyAlignment="1">
      <alignment horizontal="left" wrapText="1"/>
    </xf>
    <xf numFmtId="0" fontId="16" fillId="15" borderId="14" xfId="0" quotePrefix="1" applyFont="1" applyFill="1" applyBorder="1" applyAlignment="1">
      <alignment horizontal="left" vertical="top" wrapText="1"/>
    </xf>
    <xf numFmtId="0" fontId="0" fillId="15" borderId="15" xfId="0" applyFill="1" applyBorder="1" applyAlignment="1">
      <alignment horizontal="left" vertical="top" wrapText="1"/>
    </xf>
    <xf numFmtId="0" fontId="0" fillId="15" borderId="16" xfId="0" applyFill="1" applyBorder="1" applyAlignment="1">
      <alignment horizontal="left" vertical="top" wrapText="1"/>
    </xf>
    <xf numFmtId="0" fontId="0" fillId="0" borderId="8" xfId="0" quotePrefix="1" applyBorder="1" applyAlignment="1">
      <alignment horizontal="left" vertical="top" wrapText="1"/>
    </xf>
    <xf numFmtId="0" fontId="0" fillId="0" borderId="9" xfId="0" quotePrefix="1" applyBorder="1" applyAlignment="1">
      <alignment horizontal="left" vertical="top" wrapText="1"/>
    </xf>
    <xf numFmtId="0" fontId="0" fillId="0" borderId="10" xfId="0" quotePrefix="1" applyBorder="1" applyAlignment="1">
      <alignment horizontal="left" vertical="top" wrapText="1"/>
    </xf>
    <xf numFmtId="0" fontId="0" fillId="0" borderId="11" xfId="0" quotePrefix="1" applyBorder="1" applyAlignment="1">
      <alignment horizontal="left" vertical="top" wrapText="1"/>
    </xf>
    <xf numFmtId="0" fontId="0" fillId="0" borderId="12" xfId="0" quotePrefix="1" applyBorder="1" applyAlignment="1">
      <alignment horizontal="left" vertical="top" wrapText="1"/>
    </xf>
    <xf numFmtId="0" fontId="0" fillId="0" borderId="13" xfId="0" quotePrefix="1" applyBorder="1" applyAlignment="1">
      <alignment horizontal="left" vertical="top" wrapText="1"/>
    </xf>
    <xf numFmtId="0" fontId="0" fillId="0" borderId="0" xfId="0" quotePrefix="1" applyAlignment="1">
      <alignment horizontal="left" wrapText="1"/>
    </xf>
  </cellXfs>
  <cellStyles count="29">
    <cellStyle name="Comma" xfId="5" builtinId="3"/>
    <cellStyle name="Comma 2" xfId="3" xr:uid="{00000000-0005-0000-0000-000001000000}"/>
    <cellStyle name="Comma 3" xfId="8" xr:uid="{00000000-0005-0000-0000-000002000000}"/>
    <cellStyle name="Comma_Modele budget Consortium" xfId="28" xr:uid="{E52A9FD9-C27A-4D6C-B146-02A2448F5A06}"/>
    <cellStyle name="Currency" xfId="4" builtinId="4"/>
    <cellStyle name="Currency 2" xfId="2" xr:uid="{00000000-0005-0000-0000-000004000000}"/>
    <cellStyle name="Currency 3" xfId="7" xr:uid="{00000000-0005-0000-0000-000005000000}"/>
    <cellStyle name="Normal" xfId="0" builtinId="0"/>
    <cellStyle name="Normal 10" xfId="13" xr:uid="{00000000-0005-0000-0000-000007000000}"/>
    <cellStyle name="Normal 11 2" xfId="15" xr:uid="{00000000-0005-0000-0000-000008000000}"/>
    <cellStyle name="Normal 12 2" xfId="17" xr:uid="{00000000-0005-0000-0000-000009000000}"/>
    <cellStyle name="Normal 17 2" xfId="23" xr:uid="{00000000-0005-0000-0000-00000A000000}"/>
    <cellStyle name="Normal 19" xfId="9" xr:uid="{00000000-0005-0000-0000-00000B000000}"/>
    <cellStyle name="Normal 2" xfId="6" xr:uid="{00000000-0005-0000-0000-00000C000000}"/>
    <cellStyle name="Normal 2 5" xfId="27" xr:uid="{0F023282-AD24-4DA7-A8EF-7DA390949942}"/>
    <cellStyle name="Normal 21" xfId="11" xr:uid="{00000000-0005-0000-0000-00000D000000}"/>
    <cellStyle name="Normal 22 2" xfId="18" xr:uid="{00000000-0005-0000-0000-00000E000000}"/>
    <cellStyle name="Normal 23 2" xfId="16" xr:uid="{00000000-0005-0000-0000-00000F000000}"/>
    <cellStyle name="Normal 26 2" xfId="24" xr:uid="{00000000-0005-0000-0000-000010000000}"/>
    <cellStyle name="Normal 27" xfId="10" xr:uid="{00000000-0005-0000-0000-000011000000}"/>
    <cellStyle name="Normal 28" xfId="12" xr:uid="{00000000-0005-0000-0000-000012000000}"/>
    <cellStyle name="Normal 3" xfId="26" xr:uid="{21946EB7-45DE-4740-904B-4430678B593C}"/>
    <cellStyle name="Normal 30" xfId="14" xr:uid="{00000000-0005-0000-0000-000013000000}"/>
    <cellStyle name="Normal 32 2" xfId="21" xr:uid="{00000000-0005-0000-0000-000014000000}"/>
    <cellStyle name="Normal 33 2" xfId="25" xr:uid="{00000000-0005-0000-0000-000015000000}"/>
    <cellStyle name="Normal 36 2" xfId="19" xr:uid="{00000000-0005-0000-0000-000016000000}"/>
    <cellStyle name="Normal 6 2" xfId="20" xr:uid="{00000000-0005-0000-0000-000017000000}"/>
    <cellStyle name="Normal 7 2" xfId="22" xr:uid="{00000000-0005-0000-0000-000018000000}"/>
    <cellStyle name="Percent" xfId="1" builtinId="5"/>
  </cellStyles>
  <dxfs count="0"/>
  <tableStyles count="0" defaultTableStyle="TableStyleMedium2" defaultPivotStyle="PivotStyleLight16"/>
  <colors>
    <mruColors>
      <color rgb="FF99CCFF"/>
      <color rgb="FF0000FF"/>
      <color rgb="FFA3E7FF"/>
      <color rgb="FF99FF99"/>
      <color rgb="FFCCFFCC"/>
      <color rgb="FFFF99FF"/>
      <color rgb="FFFF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Budget\2014\FINAL\Second%20Budget%20Session\Finalgeneraloperatingf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erveTransfers"/>
      <sheetName val="Community Grants"/>
      <sheetName val="East Road update 2010est (2)"/>
      <sheetName val="Finalgeneraloperating2013"/>
      <sheetName val="bcaataxrates"/>
      <sheetName val="Revenues"/>
      <sheetName val="sCHEDULEA"/>
      <sheetName val="Admin"/>
      <sheetName val="Publicworks"/>
      <sheetName val="Capital Reserves Master"/>
      <sheetName val="DandP"/>
      <sheetName val="Expensebrkdown"/>
      <sheetName val="Charts2013"/>
      <sheetName val="GL"/>
      <sheetName val="Cap Reserve 2012"/>
      <sheetName val="Anmorestats"/>
      <sheetName val="GO5YRtitlepage"/>
      <sheetName val="Computeranalysis"/>
      <sheetName val="Statisticalgraphs2013"/>
      <sheetName val="Chart2012"/>
      <sheetName val="Expense Highlights"/>
      <sheetName val="Charts2011"/>
      <sheetName val="Mossom Creek"/>
    </sheetNames>
    <sheetDataSet>
      <sheetData sheetId="0">
        <row r="34">
          <cell r="C34">
            <v>1786480</v>
          </cell>
        </row>
      </sheetData>
      <sheetData sheetId="1">
        <row r="22">
          <cell r="B22">
            <v>7187</v>
          </cell>
        </row>
      </sheetData>
      <sheetData sheetId="2"/>
      <sheetData sheetId="3"/>
      <sheetData sheetId="4"/>
      <sheetData sheetId="5">
        <row r="10">
          <cell r="E10">
            <v>38846.262500000004</v>
          </cell>
        </row>
      </sheetData>
      <sheetData sheetId="6">
        <row r="42">
          <cell r="I42">
            <v>638527.81999999995</v>
          </cell>
        </row>
      </sheetData>
      <sheetData sheetId="7">
        <row r="29">
          <cell r="C29">
            <v>614014.14415384608</v>
          </cell>
        </row>
      </sheetData>
      <sheetData sheetId="8">
        <row r="11">
          <cell r="F11">
            <v>1108.1399999999999</v>
          </cell>
        </row>
      </sheetData>
      <sheetData sheetId="9"/>
      <sheetData sheetId="10"/>
      <sheetData sheetId="11">
        <row r="26">
          <cell r="L26">
            <v>544387.65103519999</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6"/>
  <sheetViews>
    <sheetView tabSelected="1" topLeftCell="A95" zoomScaleNormal="100" workbookViewId="0">
      <selection activeCell="A92" sqref="A92"/>
    </sheetView>
  </sheetViews>
  <sheetFormatPr defaultColWidth="9.140625" defaultRowHeight="15" x14ac:dyDescent="0.25"/>
  <cols>
    <col min="1" max="1" width="4.28515625" customWidth="1"/>
    <col min="2" max="2" width="54.7109375" customWidth="1"/>
    <col min="3" max="3" width="17.85546875" bestFit="1" customWidth="1"/>
    <col min="4" max="5" width="17.7109375" customWidth="1"/>
    <col min="6" max="7" width="17.85546875" bestFit="1" customWidth="1"/>
    <col min="8" max="8" width="18.42578125" bestFit="1" customWidth="1"/>
  </cols>
  <sheetData>
    <row r="1" spans="1:8" ht="18.75" x14ac:dyDescent="0.3">
      <c r="A1" s="1" t="s">
        <v>29</v>
      </c>
      <c r="B1" s="1"/>
      <c r="C1" s="1"/>
      <c r="D1" s="1"/>
      <c r="E1" s="1"/>
      <c r="F1" s="1"/>
      <c r="G1" s="1"/>
    </row>
    <row r="2" spans="1:8" ht="18.75" x14ac:dyDescent="0.3">
      <c r="A2" s="4" t="s">
        <v>308</v>
      </c>
      <c r="B2" s="1"/>
      <c r="C2" s="1"/>
      <c r="D2" s="1"/>
      <c r="E2" s="1"/>
      <c r="F2" s="1"/>
      <c r="G2" s="1"/>
    </row>
    <row r="3" spans="1:8" ht="15.75" thickBot="1" x14ac:dyDescent="0.3"/>
    <row r="4" spans="1:8" ht="15.75" thickBot="1" x14ac:dyDescent="0.3">
      <c r="B4" t="s">
        <v>22</v>
      </c>
      <c r="C4" s="56">
        <v>0.02</v>
      </c>
    </row>
    <row r="6" spans="1:8" x14ac:dyDescent="0.25">
      <c r="C6" s="37" t="s">
        <v>30</v>
      </c>
      <c r="D6" s="37" t="s">
        <v>117</v>
      </c>
      <c r="E6" s="37" t="s">
        <v>147</v>
      </c>
      <c r="F6" s="37" t="s">
        <v>279</v>
      </c>
      <c r="G6" s="37" t="s">
        <v>309</v>
      </c>
    </row>
    <row r="8" spans="1:8" x14ac:dyDescent="0.25">
      <c r="A8" s="2" t="s">
        <v>1</v>
      </c>
    </row>
    <row r="9" spans="1:8" x14ac:dyDescent="0.25">
      <c r="B9" t="s">
        <v>38</v>
      </c>
      <c r="C9" s="42">
        <f>SUM('2025-26 Annual Budget'!D9:O9)</f>
        <v>21888451</v>
      </c>
      <c r="D9" s="42">
        <f>(C9)*(1+$C$4)</f>
        <v>22326220.02</v>
      </c>
      <c r="E9" s="42">
        <f t="shared" ref="E9:G10" si="0">D9*(1+$C$4)</f>
        <v>22772744.420400001</v>
      </c>
      <c r="F9" s="42">
        <f t="shared" si="0"/>
        <v>23228199.308808003</v>
      </c>
      <c r="G9" s="42">
        <f t="shared" si="0"/>
        <v>23692763.294984162</v>
      </c>
      <c r="H9" s="2"/>
    </row>
    <row r="10" spans="1:8" x14ac:dyDescent="0.25">
      <c r="B10" t="s">
        <v>39</v>
      </c>
      <c r="C10" s="42">
        <f>SUM('2025-26 Annual Budget'!D10:O10)</f>
        <v>135000</v>
      </c>
      <c r="D10" s="42">
        <f>(C10)*(1+$C$4)</f>
        <v>137700</v>
      </c>
      <c r="E10" s="42">
        <f t="shared" si="0"/>
        <v>140454</v>
      </c>
      <c r="F10" s="42">
        <f t="shared" si="0"/>
        <v>143263.08000000002</v>
      </c>
      <c r="G10" s="42">
        <f t="shared" si="0"/>
        <v>146128.34160000001</v>
      </c>
      <c r="H10" s="2"/>
    </row>
    <row r="11" spans="1:8" x14ac:dyDescent="0.25">
      <c r="B11" t="s">
        <v>12</v>
      </c>
      <c r="C11" s="42">
        <f>SUM('2025-26 Annual Budget'!D11:O11)</f>
        <v>1423694</v>
      </c>
      <c r="D11" s="42">
        <f t="shared" ref="D11:D25" si="1">C11*(1+$C$4)</f>
        <v>1452167.8800000001</v>
      </c>
      <c r="E11" s="42">
        <f t="shared" ref="E11:E25" si="2">D11*(1+$C$4)</f>
        <v>1481211.2376000001</v>
      </c>
      <c r="F11" s="42">
        <f t="shared" ref="F11:F25" si="3">E11*(1+$C$4)</f>
        <v>1510835.4623520002</v>
      </c>
      <c r="G11" s="42">
        <f t="shared" ref="G11:G25" si="4">F11*(1+$C$4)</f>
        <v>1541052.1715990403</v>
      </c>
      <c r="H11" s="2"/>
    </row>
    <row r="12" spans="1:8" x14ac:dyDescent="0.25">
      <c r="B12" t="s">
        <v>40</v>
      </c>
      <c r="C12" s="42">
        <f>SUM('2025-26 Annual Budget'!D12:O12)</f>
        <v>281560</v>
      </c>
      <c r="D12" s="42">
        <f t="shared" si="1"/>
        <v>287191.2</v>
      </c>
      <c r="E12" s="42">
        <f t="shared" si="2"/>
        <v>292935.02400000003</v>
      </c>
      <c r="F12" s="42">
        <f t="shared" si="3"/>
        <v>298793.72448000003</v>
      </c>
      <c r="G12" s="42">
        <f t="shared" si="4"/>
        <v>304769.59896960005</v>
      </c>
      <c r="H12" s="2"/>
    </row>
    <row r="13" spans="1:8" x14ac:dyDescent="0.25">
      <c r="B13" t="s">
        <v>114</v>
      </c>
      <c r="C13" s="42">
        <f>SUM('2025-26 Annual Budget'!D13:O13)</f>
        <v>15000</v>
      </c>
      <c r="D13" s="42">
        <f t="shared" si="1"/>
        <v>15300</v>
      </c>
      <c r="E13" s="42">
        <f t="shared" si="2"/>
        <v>15606</v>
      </c>
      <c r="F13" s="42">
        <f t="shared" si="3"/>
        <v>15918.12</v>
      </c>
      <c r="G13" s="42">
        <f t="shared" si="4"/>
        <v>16236.482400000001</v>
      </c>
      <c r="H13" s="2"/>
    </row>
    <row r="14" spans="1:8" x14ac:dyDescent="0.25">
      <c r="B14" t="s">
        <v>43</v>
      </c>
      <c r="C14" s="42">
        <f>SUM('2025-26 Annual Budget'!D14:O14)</f>
        <v>1178944</v>
      </c>
      <c r="D14" s="42">
        <f t="shared" si="1"/>
        <v>1202522.8800000001</v>
      </c>
      <c r="E14" s="42">
        <f t="shared" si="2"/>
        <v>1226573.3376000002</v>
      </c>
      <c r="F14" s="42">
        <f t="shared" si="3"/>
        <v>1251104.8043520001</v>
      </c>
      <c r="G14" s="42">
        <f t="shared" si="4"/>
        <v>1276126.90043904</v>
      </c>
      <c r="H14" s="2"/>
    </row>
    <row r="15" spans="1:8" hidden="1" x14ac:dyDescent="0.25">
      <c r="B15" t="s">
        <v>41</v>
      </c>
      <c r="C15" s="42">
        <f>SUM('2025-26 Annual Budget'!D15:O15)</f>
        <v>0</v>
      </c>
      <c r="D15" s="42">
        <f t="shared" si="1"/>
        <v>0</v>
      </c>
      <c r="E15" s="42">
        <f t="shared" si="2"/>
        <v>0</v>
      </c>
      <c r="F15" s="42">
        <f t="shared" si="3"/>
        <v>0</v>
      </c>
      <c r="G15" s="42">
        <f t="shared" si="4"/>
        <v>0</v>
      </c>
      <c r="H15" s="2"/>
    </row>
    <row r="16" spans="1:8" x14ac:dyDescent="0.25">
      <c r="B16" t="s">
        <v>47</v>
      </c>
      <c r="C16" s="42">
        <f>SUM('2025-26 Annual Budget'!D16:O16)</f>
        <v>190000</v>
      </c>
      <c r="D16" s="42">
        <f t="shared" si="1"/>
        <v>193800</v>
      </c>
      <c r="E16" s="42">
        <f t="shared" si="2"/>
        <v>197676</v>
      </c>
      <c r="F16" s="42">
        <f t="shared" si="3"/>
        <v>201629.52</v>
      </c>
      <c r="G16" s="42">
        <f t="shared" si="4"/>
        <v>205662.11040000001</v>
      </c>
      <c r="H16" s="2"/>
    </row>
    <row r="17" spans="1:8" x14ac:dyDescent="0.25">
      <c r="B17" t="s">
        <v>42</v>
      </c>
      <c r="C17" s="42">
        <f>SUM('2025-26 Annual Budget'!D17:O17)</f>
        <v>46735</v>
      </c>
      <c r="D17" s="42">
        <f t="shared" si="1"/>
        <v>47669.700000000004</v>
      </c>
      <c r="E17" s="42">
        <f t="shared" si="2"/>
        <v>48623.094000000005</v>
      </c>
      <c r="F17" s="42">
        <f t="shared" si="3"/>
        <v>49595.555880000007</v>
      </c>
      <c r="G17" s="42">
        <f t="shared" si="4"/>
        <v>50587.466997600008</v>
      </c>
      <c r="H17" s="2"/>
    </row>
    <row r="18" spans="1:8" x14ac:dyDescent="0.25">
      <c r="B18" t="s">
        <v>44</v>
      </c>
      <c r="C18" s="42">
        <f>SUM('2025-26 Annual Budget'!D18:O18)</f>
        <v>457808</v>
      </c>
      <c r="D18" s="42">
        <f t="shared" si="1"/>
        <v>466964.16000000003</v>
      </c>
      <c r="E18" s="42">
        <f t="shared" si="2"/>
        <v>476303.44320000004</v>
      </c>
      <c r="F18" s="42">
        <f t="shared" si="3"/>
        <v>485829.51206400007</v>
      </c>
      <c r="G18" s="42">
        <f t="shared" si="4"/>
        <v>495546.1023052801</v>
      </c>
      <c r="H18" s="2"/>
    </row>
    <row r="19" spans="1:8" x14ac:dyDescent="0.25">
      <c r="B19" t="s">
        <v>45</v>
      </c>
      <c r="C19" s="42">
        <f>SUM('2025-26 Annual Budget'!D20:O20)</f>
        <v>135000</v>
      </c>
      <c r="D19" s="42">
        <f t="shared" si="1"/>
        <v>137700</v>
      </c>
      <c r="E19" s="42">
        <f t="shared" si="2"/>
        <v>140454</v>
      </c>
      <c r="F19" s="42">
        <f t="shared" si="3"/>
        <v>143263.08000000002</v>
      </c>
      <c r="G19" s="42">
        <f t="shared" si="4"/>
        <v>146128.34160000001</v>
      </c>
    </row>
    <row r="20" spans="1:8" hidden="1" x14ac:dyDescent="0.25">
      <c r="B20" t="s">
        <v>46</v>
      </c>
      <c r="C20" s="42">
        <f>SUM('2025-26 Annual Budget'!D21:O21)</f>
        <v>0</v>
      </c>
      <c r="D20" s="42">
        <f t="shared" si="1"/>
        <v>0</v>
      </c>
      <c r="E20" s="42">
        <f t="shared" si="2"/>
        <v>0</v>
      </c>
      <c r="F20" s="42">
        <f t="shared" si="3"/>
        <v>0</v>
      </c>
      <c r="G20" s="42">
        <f t="shared" si="4"/>
        <v>0</v>
      </c>
    </row>
    <row r="21" spans="1:8" x14ac:dyDescent="0.25">
      <c r="B21" t="s">
        <v>98</v>
      </c>
      <c r="C21" s="42">
        <f>SUM('2025-26 Annual Budget'!D22:O22)</f>
        <v>308080</v>
      </c>
      <c r="D21" s="42">
        <f t="shared" si="1"/>
        <v>314241.59999999998</v>
      </c>
      <c r="E21" s="42">
        <f t="shared" si="2"/>
        <v>320526.43199999997</v>
      </c>
      <c r="F21" s="42">
        <f t="shared" si="3"/>
        <v>326936.96064</v>
      </c>
      <c r="G21" s="42">
        <f t="shared" si="4"/>
        <v>333475.6998528</v>
      </c>
    </row>
    <row r="22" spans="1:8" x14ac:dyDescent="0.25">
      <c r="B22" t="s">
        <v>316</v>
      </c>
      <c r="C22" s="42">
        <v>900000</v>
      </c>
      <c r="D22" s="42">
        <f t="shared" si="1"/>
        <v>918000</v>
      </c>
      <c r="E22" s="42">
        <f t="shared" si="2"/>
        <v>936360</v>
      </c>
      <c r="F22" s="42">
        <f t="shared" si="3"/>
        <v>955087.20000000007</v>
      </c>
      <c r="G22" s="42">
        <f t="shared" si="4"/>
        <v>974188.94400000013</v>
      </c>
    </row>
    <row r="23" spans="1:8" x14ac:dyDescent="0.25">
      <c r="B23" t="s">
        <v>318</v>
      </c>
      <c r="C23" s="42">
        <v>175000</v>
      </c>
      <c r="D23" s="42">
        <f t="shared" si="1"/>
        <v>178500</v>
      </c>
      <c r="E23" s="42">
        <f t="shared" si="2"/>
        <v>182070</v>
      </c>
      <c r="F23" s="42">
        <f t="shared" si="3"/>
        <v>185711.4</v>
      </c>
      <c r="G23" s="42">
        <f t="shared" si="4"/>
        <v>189425.628</v>
      </c>
    </row>
    <row r="24" spans="1:8" x14ac:dyDescent="0.25">
      <c r="B24" t="s">
        <v>95</v>
      </c>
      <c r="C24" s="42">
        <f>SUM('2025-26 Annual Budget'!D25:O25)</f>
        <v>650594</v>
      </c>
      <c r="D24" s="42">
        <f t="shared" si="1"/>
        <v>663605.88</v>
      </c>
      <c r="E24" s="42">
        <f t="shared" si="2"/>
        <v>676877.9976</v>
      </c>
      <c r="F24" s="42">
        <f t="shared" si="3"/>
        <v>690415.55755200004</v>
      </c>
      <c r="G24" s="42">
        <f t="shared" si="4"/>
        <v>704223.86870304006</v>
      </c>
      <c r="H24" s="182"/>
    </row>
    <row r="25" spans="1:8" ht="16.5" customHeight="1" x14ac:dyDescent="0.25">
      <c r="B25" t="s">
        <v>87</v>
      </c>
      <c r="C25" s="42">
        <f>SUM('2025-26 Annual Budget'!D26:O26)</f>
        <v>349263</v>
      </c>
      <c r="D25" s="42">
        <f t="shared" si="1"/>
        <v>356248.26</v>
      </c>
      <c r="E25" s="42">
        <f t="shared" si="2"/>
        <v>363373.22520000004</v>
      </c>
      <c r="F25" s="42">
        <f t="shared" si="3"/>
        <v>370640.68970400008</v>
      </c>
      <c r="G25" s="42">
        <f t="shared" si="4"/>
        <v>378053.50349808007</v>
      </c>
    </row>
    <row r="26" spans="1:8" x14ac:dyDescent="0.25">
      <c r="B26" s="13" t="s">
        <v>25</v>
      </c>
      <c r="C26" s="53">
        <f>SUM(C9:C25)</f>
        <v>28135129</v>
      </c>
      <c r="D26" s="54">
        <f>SUM(D9:D25)</f>
        <v>28697831.579999998</v>
      </c>
      <c r="E26" s="54">
        <f>SUM(E9:E25)</f>
        <v>29271788.211600002</v>
      </c>
      <c r="F26" s="54">
        <f>SUM(F9:F25)</f>
        <v>29857223.975831993</v>
      </c>
      <c r="G26" s="54">
        <f>SUM(G9:G25)</f>
        <v>30454368.455348648</v>
      </c>
    </row>
    <row r="27" spans="1:8" x14ac:dyDescent="0.25">
      <c r="B27" t="s">
        <v>11</v>
      </c>
      <c r="C27" s="42"/>
      <c r="D27" s="42"/>
      <c r="E27" s="42"/>
      <c r="F27" s="42"/>
      <c r="G27" s="42"/>
      <c r="H27" s="42"/>
    </row>
    <row r="28" spans="1:8" x14ac:dyDescent="0.25">
      <c r="A28" s="2" t="s">
        <v>2</v>
      </c>
      <c r="C28" s="42"/>
      <c r="D28" s="42"/>
      <c r="E28" s="42"/>
      <c r="F28" s="42"/>
      <c r="G28" s="42"/>
    </row>
    <row r="29" spans="1:8" x14ac:dyDescent="0.25">
      <c r="B29" s="7" t="s">
        <v>48</v>
      </c>
      <c r="C29" s="42">
        <f>SUM('2025-26 Annual Budget'!D30:O30)</f>
        <v>12246984</v>
      </c>
      <c r="D29" s="42">
        <f t="shared" ref="D29:G29" si="5">C29*(1+$C$4)</f>
        <v>12491923.68</v>
      </c>
      <c r="E29" s="42">
        <f t="shared" si="5"/>
        <v>12741762.1536</v>
      </c>
      <c r="F29" s="42">
        <f t="shared" si="5"/>
        <v>12996597.396671999</v>
      </c>
      <c r="G29" s="42">
        <f t="shared" si="5"/>
        <v>13256529.34460544</v>
      </c>
    </row>
    <row r="30" spans="1:8" x14ac:dyDescent="0.25">
      <c r="B30" s="7" t="s">
        <v>12</v>
      </c>
      <c r="C30" s="42">
        <f>SUM('2025-26 Annual Budget'!D31:O31)</f>
        <v>1704879</v>
      </c>
      <c r="D30" s="42">
        <f>(C30)*(1+$C$4)</f>
        <v>1738976.58</v>
      </c>
      <c r="E30" s="42">
        <f t="shared" ref="E30:E73" si="6">D30*(1+$C$4)</f>
        <v>1773756.1116000002</v>
      </c>
      <c r="F30" s="42">
        <f t="shared" ref="F30:F73" si="7">E30*(1+$C$4)</f>
        <v>1809231.2338320003</v>
      </c>
      <c r="G30" s="42">
        <f t="shared" ref="G30:G73" si="8">F30*(1+$C$4)</f>
        <v>1845415.8585086404</v>
      </c>
    </row>
    <row r="31" spans="1:8" x14ac:dyDescent="0.25">
      <c r="B31" s="7" t="s">
        <v>133</v>
      </c>
      <c r="C31" s="42">
        <f>SUM('2025-26 Annual Budget'!D32:O32)</f>
        <v>445974</v>
      </c>
      <c r="D31" s="42">
        <f t="shared" ref="D31:D73" si="9">C31*(1+$C$4)</f>
        <v>454893.48</v>
      </c>
      <c r="E31" s="42">
        <f t="shared" si="6"/>
        <v>463991.34960000002</v>
      </c>
      <c r="F31" s="42">
        <f t="shared" si="7"/>
        <v>473271.176592</v>
      </c>
      <c r="G31" s="42">
        <f t="shared" si="8"/>
        <v>482736.60012384003</v>
      </c>
    </row>
    <row r="32" spans="1:8" hidden="1" x14ac:dyDescent="0.25">
      <c r="B32" s="7" t="s">
        <v>131</v>
      </c>
      <c r="C32" s="42">
        <f>SUM('2025-26 Annual Budget'!D33:O33)</f>
        <v>0</v>
      </c>
      <c r="D32" s="42">
        <f t="shared" si="9"/>
        <v>0</v>
      </c>
      <c r="E32" s="42">
        <f t="shared" si="6"/>
        <v>0</v>
      </c>
      <c r="F32" s="42">
        <f t="shared" si="7"/>
        <v>0</v>
      </c>
      <c r="G32" s="42">
        <f t="shared" si="8"/>
        <v>0</v>
      </c>
    </row>
    <row r="33" spans="2:7" x14ac:dyDescent="0.25">
      <c r="B33" s="7" t="s">
        <v>49</v>
      </c>
      <c r="C33" s="42">
        <f>SUM('2025-26 Annual Budget'!D34:O34)</f>
        <v>1509256</v>
      </c>
      <c r="D33" s="42">
        <f t="shared" si="9"/>
        <v>1539441.12</v>
      </c>
      <c r="E33" s="42">
        <f t="shared" si="6"/>
        <v>1570229.9424000001</v>
      </c>
      <c r="F33" s="42">
        <f t="shared" si="7"/>
        <v>1601634.541248</v>
      </c>
      <c r="G33" s="42">
        <f t="shared" si="8"/>
        <v>1633667.2320729601</v>
      </c>
    </row>
    <row r="34" spans="2:7" x14ac:dyDescent="0.25">
      <c r="B34" s="7" t="s">
        <v>50</v>
      </c>
      <c r="C34" s="42">
        <f>SUM('2025-26 Annual Budget'!D35:O35)</f>
        <v>11300</v>
      </c>
      <c r="D34" s="42">
        <f t="shared" si="9"/>
        <v>11526</v>
      </c>
      <c r="E34" s="42">
        <f t="shared" si="6"/>
        <v>11756.52</v>
      </c>
      <c r="F34" s="42">
        <f t="shared" si="7"/>
        <v>11991.6504</v>
      </c>
      <c r="G34" s="42">
        <f t="shared" si="8"/>
        <v>12231.483408</v>
      </c>
    </row>
    <row r="35" spans="2:7" x14ac:dyDescent="0.25">
      <c r="B35" s="7" t="s">
        <v>281</v>
      </c>
      <c r="C35" s="42">
        <f>SUM('2025-26 Annual Budget'!D36:O36)</f>
        <v>101000</v>
      </c>
      <c r="D35" s="42">
        <f t="shared" si="9"/>
        <v>103020</v>
      </c>
      <c r="E35" s="42">
        <f t="shared" si="6"/>
        <v>105080.40000000001</v>
      </c>
      <c r="F35" s="42">
        <f t="shared" si="7"/>
        <v>107182.00800000002</v>
      </c>
      <c r="G35" s="42">
        <f t="shared" si="8"/>
        <v>109325.64816000001</v>
      </c>
    </row>
    <row r="36" spans="2:7" x14ac:dyDescent="0.25">
      <c r="B36" s="7" t="s">
        <v>88</v>
      </c>
      <c r="C36" s="42">
        <f>SUM('2025-26 Annual Budget'!D37:O37)</f>
        <v>168109</v>
      </c>
      <c r="D36" s="42">
        <f t="shared" si="9"/>
        <v>171471.18</v>
      </c>
      <c r="E36" s="42">
        <f t="shared" si="6"/>
        <v>174900.6036</v>
      </c>
      <c r="F36" s="42">
        <f t="shared" si="7"/>
        <v>178398.61567200001</v>
      </c>
      <c r="G36" s="42">
        <f t="shared" si="8"/>
        <v>181966.58798544001</v>
      </c>
    </row>
    <row r="37" spans="2:7" x14ac:dyDescent="0.25">
      <c r="B37" s="7" t="s">
        <v>51</v>
      </c>
      <c r="C37" s="42">
        <f>SUM('2025-26 Annual Budget'!D38:O38)</f>
        <v>1787881</v>
      </c>
      <c r="D37" s="42">
        <f t="shared" si="9"/>
        <v>1823638.62</v>
      </c>
      <c r="E37" s="42">
        <f>(D37)*(1+$C$4)+1</f>
        <v>1860112.3924000002</v>
      </c>
      <c r="F37" s="42">
        <f>E37*(1+$C$4)+0.7</f>
        <v>1897315.3402480003</v>
      </c>
      <c r="G37" s="42">
        <f>F37*(1+$C$4)+1.5</f>
        <v>1935263.1470529605</v>
      </c>
    </row>
    <row r="38" spans="2:7" x14ac:dyDescent="0.25">
      <c r="B38" s="7" t="s">
        <v>52</v>
      </c>
      <c r="C38" s="42">
        <f>SUM('2025-26 Annual Budget'!D39:O39)</f>
        <v>13000</v>
      </c>
      <c r="D38" s="42">
        <f t="shared" si="9"/>
        <v>13260</v>
      </c>
      <c r="E38" s="42">
        <f t="shared" si="6"/>
        <v>13525.2</v>
      </c>
      <c r="F38" s="42">
        <f t="shared" si="7"/>
        <v>13795.704000000002</v>
      </c>
      <c r="G38" s="42">
        <f t="shared" si="8"/>
        <v>14071.618080000002</v>
      </c>
    </row>
    <row r="39" spans="2:7" x14ac:dyDescent="0.25">
      <c r="B39" s="7" t="s">
        <v>53</v>
      </c>
      <c r="C39" s="42">
        <f>SUM('2025-26 Annual Budget'!D40:O40)</f>
        <v>169992</v>
      </c>
      <c r="D39" s="42">
        <f t="shared" si="9"/>
        <v>173391.84</v>
      </c>
      <c r="E39" s="42">
        <f t="shared" si="6"/>
        <v>176859.67679999999</v>
      </c>
      <c r="F39" s="42">
        <f t="shared" si="7"/>
        <v>180396.87033599999</v>
      </c>
      <c r="G39" s="42">
        <f t="shared" si="8"/>
        <v>184004.80774272</v>
      </c>
    </row>
    <row r="40" spans="2:7" x14ac:dyDescent="0.25">
      <c r="B40" s="7" t="s">
        <v>13</v>
      </c>
      <c r="C40" s="42">
        <f>SUM('2025-26 Annual Budget'!D41:O41)</f>
        <v>145100</v>
      </c>
      <c r="D40" s="42">
        <f t="shared" si="9"/>
        <v>148002</v>
      </c>
      <c r="E40" s="42">
        <f t="shared" si="6"/>
        <v>150962.04</v>
      </c>
      <c r="F40" s="42">
        <f t="shared" si="7"/>
        <v>153981.28080000001</v>
      </c>
      <c r="G40" s="42">
        <f t="shared" si="8"/>
        <v>157060.90641600001</v>
      </c>
    </row>
    <row r="41" spans="2:7" x14ac:dyDescent="0.25">
      <c r="B41" s="7" t="s">
        <v>17</v>
      </c>
      <c r="C41" s="42">
        <f>SUM('2025-26 Annual Budget'!D42:O42)</f>
        <v>228281</v>
      </c>
      <c r="D41" s="42">
        <f t="shared" si="9"/>
        <v>232846.62</v>
      </c>
      <c r="E41" s="42">
        <f t="shared" si="6"/>
        <v>237503.55239999999</v>
      </c>
      <c r="F41" s="42">
        <f t="shared" si="7"/>
        <v>242253.623448</v>
      </c>
      <c r="G41" s="42">
        <f t="shared" si="8"/>
        <v>247098.69591696002</v>
      </c>
    </row>
    <row r="42" spans="2:7" x14ac:dyDescent="0.25">
      <c r="B42" s="7" t="s">
        <v>54</v>
      </c>
      <c r="C42" s="42">
        <f>SUM('2025-26 Annual Budget'!D43:O43)</f>
        <v>14033</v>
      </c>
      <c r="D42" s="42">
        <f t="shared" si="9"/>
        <v>14313.66</v>
      </c>
      <c r="E42" s="42">
        <f t="shared" si="6"/>
        <v>14599.933199999999</v>
      </c>
      <c r="F42" s="42">
        <f t="shared" si="7"/>
        <v>14891.931864</v>
      </c>
      <c r="G42" s="42">
        <f t="shared" si="8"/>
        <v>15189.77050128</v>
      </c>
    </row>
    <row r="43" spans="2:7" hidden="1" x14ac:dyDescent="0.25">
      <c r="B43" s="7" t="s">
        <v>55</v>
      </c>
      <c r="C43" s="42">
        <f>SUM('2025-26 Annual Budget'!D44:O44)+C80</f>
        <v>0</v>
      </c>
      <c r="D43" s="42">
        <f t="shared" si="9"/>
        <v>0</v>
      </c>
      <c r="E43" s="42">
        <f t="shared" si="6"/>
        <v>0</v>
      </c>
      <c r="F43" s="42">
        <f t="shared" si="7"/>
        <v>0</v>
      </c>
      <c r="G43" s="42">
        <f t="shared" si="8"/>
        <v>0</v>
      </c>
    </row>
    <row r="44" spans="2:7" x14ac:dyDescent="0.25">
      <c r="B44" s="7" t="s">
        <v>56</v>
      </c>
      <c r="C44" s="42">
        <f>SUM('2025-26 Annual Budget'!D45:O45)</f>
        <v>4200</v>
      </c>
      <c r="D44" s="42">
        <f t="shared" si="9"/>
        <v>4284</v>
      </c>
      <c r="E44" s="42">
        <f t="shared" si="6"/>
        <v>4369.68</v>
      </c>
      <c r="F44" s="42">
        <f t="shared" si="7"/>
        <v>4457.0736000000006</v>
      </c>
      <c r="G44" s="42">
        <f t="shared" si="8"/>
        <v>4546.2150720000009</v>
      </c>
    </row>
    <row r="45" spans="2:7" x14ac:dyDescent="0.25">
      <c r="B45" s="7" t="s">
        <v>57</v>
      </c>
      <c r="C45" s="42">
        <f>SUM('2025-26 Annual Budget'!D46:O46)</f>
        <v>318444</v>
      </c>
      <c r="D45" s="42">
        <f t="shared" si="9"/>
        <v>324812.88</v>
      </c>
      <c r="E45" s="42">
        <f t="shared" si="6"/>
        <v>331309.13760000002</v>
      </c>
      <c r="F45" s="42">
        <f t="shared" si="7"/>
        <v>337935.32035200001</v>
      </c>
      <c r="G45" s="42">
        <f t="shared" si="8"/>
        <v>344694.02675904002</v>
      </c>
    </row>
    <row r="46" spans="2:7" x14ac:dyDescent="0.25">
      <c r="B46" s="7" t="s">
        <v>58</v>
      </c>
      <c r="C46" s="42">
        <f>SUM('2025-26 Annual Budget'!D47:O47)</f>
        <v>1508963</v>
      </c>
      <c r="D46" s="42">
        <f t="shared" si="9"/>
        <v>1539142.26</v>
      </c>
      <c r="E46" s="42">
        <f t="shared" si="6"/>
        <v>1569925.1052000001</v>
      </c>
      <c r="F46" s="42">
        <f t="shared" si="7"/>
        <v>1601323.6073040001</v>
      </c>
      <c r="G46" s="42">
        <f t="shared" si="8"/>
        <v>1633350.0794500802</v>
      </c>
    </row>
    <row r="47" spans="2:7" x14ac:dyDescent="0.25">
      <c r="B47" s="7" t="s">
        <v>59</v>
      </c>
      <c r="C47" s="42">
        <f>SUM('2025-26 Annual Budget'!D48:O48)</f>
        <v>240280</v>
      </c>
      <c r="D47" s="42">
        <f t="shared" si="9"/>
        <v>245085.6</v>
      </c>
      <c r="E47" s="42">
        <f t="shared" si="6"/>
        <v>249987.31200000001</v>
      </c>
      <c r="F47" s="42">
        <f t="shared" si="7"/>
        <v>254987.05824000001</v>
      </c>
      <c r="G47" s="42">
        <f t="shared" si="8"/>
        <v>260086.79940480003</v>
      </c>
    </row>
    <row r="48" spans="2:7" x14ac:dyDescent="0.25">
      <c r="B48" s="7" t="s">
        <v>96</v>
      </c>
      <c r="C48" s="42">
        <f>SUM('2025-26 Annual Budget'!D49:O49)</f>
        <v>910824</v>
      </c>
      <c r="D48" s="42">
        <f t="shared" si="9"/>
        <v>929040.48</v>
      </c>
      <c r="E48" s="42">
        <f t="shared" si="6"/>
        <v>947621.28960000002</v>
      </c>
      <c r="F48" s="42">
        <f t="shared" si="7"/>
        <v>966573.71539200004</v>
      </c>
      <c r="G48" s="42">
        <f t="shared" si="8"/>
        <v>985905.18969984003</v>
      </c>
    </row>
    <row r="49" spans="2:8" x14ac:dyDescent="0.25">
      <c r="B49" s="7" t="s">
        <v>60</v>
      </c>
      <c r="C49" s="42">
        <f>SUM('2025-26 Annual Budget'!D50:O50)</f>
        <v>75895</v>
      </c>
      <c r="D49" s="42">
        <f t="shared" ref="D49:G50" si="10">C49*(1+$C$4)</f>
        <v>77412.899999999994</v>
      </c>
      <c r="E49" s="42">
        <f t="shared" si="10"/>
        <v>78961.157999999996</v>
      </c>
      <c r="F49" s="42">
        <f t="shared" si="10"/>
        <v>80540.38115999999</v>
      </c>
      <c r="G49" s="42">
        <f t="shared" si="10"/>
        <v>82151.188783199992</v>
      </c>
    </row>
    <row r="50" spans="2:8" x14ac:dyDescent="0.25">
      <c r="B50" s="7" t="s">
        <v>209</v>
      </c>
      <c r="C50" s="42">
        <f>'2025-26 Annual Budget'!P51</f>
        <v>629434</v>
      </c>
      <c r="D50" s="42">
        <f t="shared" si="10"/>
        <v>642022.68000000005</v>
      </c>
      <c r="E50" s="42">
        <f t="shared" si="10"/>
        <v>654863.13360000006</v>
      </c>
      <c r="F50" s="42">
        <f t="shared" si="10"/>
        <v>667960.39627200004</v>
      </c>
      <c r="G50" s="42">
        <f t="shared" si="10"/>
        <v>681319.60419744009</v>
      </c>
    </row>
    <row r="51" spans="2:8" x14ac:dyDescent="0.25">
      <c r="B51" s="7" t="s">
        <v>61</v>
      </c>
      <c r="C51" s="42">
        <f>SUM('2025-26 Annual Budget'!D52:O52)</f>
        <v>249300</v>
      </c>
      <c r="D51" s="42">
        <f t="shared" si="9"/>
        <v>254286</v>
      </c>
      <c r="E51" s="42">
        <f t="shared" si="6"/>
        <v>259371.72</v>
      </c>
      <c r="F51" s="42">
        <f t="shared" si="7"/>
        <v>264559.1544</v>
      </c>
      <c r="G51" s="42">
        <f t="shared" si="8"/>
        <v>269850.33748799999</v>
      </c>
    </row>
    <row r="52" spans="2:8" x14ac:dyDescent="0.25">
      <c r="B52" s="7" t="s">
        <v>62</v>
      </c>
      <c r="C52" s="42">
        <f>SUM('2025-26 Annual Budget'!D53:O53)</f>
        <v>98300</v>
      </c>
      <c r="D52" s="42">
        <f t="shared" si="9"/>
        <v>100266</v>
      </c>
      <c r="E52" s="42">
        <f t="shared" si="6"/>
        <v>102271.32</v>
      </c>
      <c r="F52" s="42">
        <f t="shared" si="7"/>
        <v>104316.7464</v>
      </c>
      <c r="G52" s="42">
        <f t="shared" si="8"/>
        <v>106403.081328</v>
      </c>
    </row>
    <row r="53" spans="2:8" x14ac:dyDescent="0.25">
      <c r="B53" s="7" t="s">
        <v>63</v>
      </c>
      <c r="C53" s="42">
        <f>SUM('2025-26 Annual Budget'!D54:O54)</f>
        <v>252430</v>
      </c>
      <c r="D53" s="42">
        <f t="shared" si="9"/>
        <v>257478.6</v>
      </c>
      <c r="E53" s="42">
        <f t="shared" si="6"/>
        <v>262628.17200000002</v>
      </c>
      <c r="F53" s="42">
        <f t="shared" si="7"/>
        <v>267880.73544000002</v>
      </c>
      <c r="G53" s="42">
        <f t="shared" si="8"/>
        <v>273238.3501488</v>
      </c>
    </row>
    <row r="54" spans="2:8" x14ac:dyDescent="0.25">
      <c r="B54" s="7" t="s">
        <v>14</v>
      </c>
      <c r="C54" s="42">
        <f>SUM('2025-26 Annual Budget'!D55:O55)</f>
        <v>542351</v>
      </c>
      <c r="D54" s="42">
        <f t="shared" si="9"/>
        <v>553198.02</v>
      </c>
      <c r="E54" s="42">
        <f t="shared" si="6"/>
        <v>564261.9804</v>
      </c>
      <c r="F54" s="42">
        <f t="shared" si="7"/>
        <v>575547.22000800003</v>
      </c>
      <c r="G54" s="42">
        <f t="shared" si="8"/>
        <v>587058.16440816002</v>
      </c>
    </row>
    <row r="55" spans="2:8" x14ac:dyDescent="0.25">
      <c r="B55" s="7" t="s">
        <v>143</v>
      </c>
      <c r="C55" s="42">
        <f>SUM('2025-26 Annual Budget'!D56:O56)</f>
        <v>322762</v>
      </c>
      <c r="D55" s="42">
        <f t="shared" si="9"/>
        <v>329217.24</v>
      </c>
      <c r="E55" s="42">
        <f t="shared" si="6"/>
        <v>335801.58480000001</v>
      </c>
      <c r="F55" s="42">
        <f t="shared" si="7"/>
        <v>342517.61649600003</v>
      </c>
      <c r="G55" s="42">
        <f t="shared" si="8"/>
        <v>349367.96882592002</v>
      </c>
    </row>
    <row r="56" spans="2:8" x14ac:dyDescent="0.25">
      <c r="B56" s="7" t="s">
        <v>116</v>
      </c>
      <c r="C56" s="42">
        <f>SUM('2025-26 Annual Budget'!D57:O57)</f>
        <v>200000</v>
      </c>
      <c r="D56" s="42">
        <f t="shared" si="9"/>
        <v>204000</v>
      </c>
      <c r="E56" s="42">
        <f t="shared" si="6"/>
        <v>208080</v>
      </c>
      <c r="F56" s="42">
        <f t="shared" si="7"/>
        <v>212241.6</v>
      </c>
      <c r="G56" s="42">
        <f t="shared" si="8"/>
        <v>216486.432</v>
      </c>
    </row>
    <row r="57" spans="2:8" x14ac:dyDescent="0.25">
      <c r="B57" s="26" t="s">
        <v>64</v>
      </c>
      <c r="C57" s="42">
        <f>SUM('2025-26 Annual Budget'!D58:O58)</f>
        <v>135000</v>
      </c>
      <c r="D57" s="42">
        <f t="shared" si="9"/>
        <v>137700</v>
      </c>
      <c r="E57" s="42">
        <f t="shared" si="6"/>
        <v>140454</v>
      </c>
      <c r="F57" s="42">
        <f t="shared" si="7"/>
        <v>143263.08000000002</v>
      </c>
      <c r="G57" s="42">
        <f t="shared" si="8"/>
        <v>146128.34160000001</v>
      </c>
    </row>
    <row r="58" spans="2:8" x14ac:dyDescent="0.25">
      <c r="B58" s="7" t="s">
        <v>89</v>
      </c>
      <c r="C58" s="42">
        <f>SUM('2025-26 Annual Budget'!D59:O59)</f>
        <v>40445</v>
      </c>
      <c r="D58" s="42">
        <f t="shared" si="9"/>
        <v>41253.9</v>
      </c>
      <c r="E58" s="42">
        <f t="shared" si="6"/>
        <v>42078.978000000003</v>
      </c>
      <c r="F58" s="42">
        <f t="shared" si="7"/>
        <v>42920.557560000001</v>
      </c>
      <c r="G58" s="42">
        <f t="shared" si="8"/>
        <v>43778.968711200003</v>
      </c>
    </row>
    <row r="59" spans="2:8" x14ac:dyDescent="0.25">
      <c r="B59" s="7" t="s">
        <v>134</v>
      </c>
      <c r="C59" s="42">
        <f>'2025-26 Annual Budget'!P60</f>
        <v>204846</v>
      </c>
      <c r="D59" s="42">
        <f t="shared" si="9"/>
        <v>208942.92</v>
      </c>
      <c r="E59" s="42">
        <f t="shared" si="6"/>
        <v>213121.77840000001</v>
      </c>
      <c r="F59" s="42">
        <f t="shared" si="7"/>
        <v>217384.21396800003</v>
      </c>
      <c r="G59" s="42">
        <f t="shared" si="8"/>
        <v>221731.89824736002</v>
      </c>
      <c r="H59" s="42"/>
    </row>
    <row r="60" spans="2:8" hidden="1" x14ac:dyDescent="0.25">
      <c r="B60" s="7" t="s">
        <v>135</v>
      </c>
      <c r="C60" s="42">
        <f>'2025-26 Annual Budget'!P61</f>
        <v>0</v>
      </c>
      <c r="D60" s="42">
        <f t="shared" si="9"/>
        <v>0</v>
      </c>
      <c r="E60" s="42">
        <f t="shared" si="6"/>
        <v>0</v>
      </c>
      <c r="F60" s="42">
        <f t="shared" si="7"/>
        <v>0</v>
      </c>
      <c r="G60" s="42">
        <f t="shared" si="8"/>
        <v>0</v>
      </c>
    </row>
    <row r="61" spans="2:8" x14ac:dyDescent="0.25">
      <c r="B61" s="7" t="s">
        <v>136</v>
      </c>
      <c r="C61" s="42">
        <f>'2025-26 Annual Budget'!P62</f>
        <v>229920</v>
      </c>
      <c r="D61" s="42">
        <f t="shared" si="9"/>
        <v>234518.39999999999</v>
      </c>
      <c r="E61" s="42">
        <f t="shared" si="6"/>
        <v>239208.76800000001</v>
      </c>
      <c r="F61" s="42">
        <f t="shared" si="7"/>
        <v>243992.94336</v>
      </c>
      <c r="G61" s="42">
        <f t="shared" si="8"/>
        <v>248872.80222720001</v>
      </c>
    </row>
    <row r="62" spans="2:8" x14ac:dyDescent="0.25">
      <c r="B62" s="7" t="s">
        <v>137</v>
      </c>
      <c r="C62" s="42">
        <f>'2025-26 Annual Budget'!P63</f>
        <v>358400</v>
      </c>
      <c r="D62" s="42">
        <f t="shared" si="9"/>
        <v>365568</v>
      </c>
      <c r="E62" s="42">
        <f t="shared" si="6"/>
        <v>372879.35999999999</v>
      </c>
      <c r="F62" s="42">
        <f t="shared" si="7"/>
        <v>380336.9472</v>
      </c>
      <c r="G62" s="42">
        <f t="shared" si="8"/>
        <v>387943.68614399998</v>
      </c>
    </row>
    <row r="63" spans="2:8" x14ac:dyDescent="0.25">
      <c r="B63" s="7" t="s">
        <v>138</v>
      </c>
      <c r="C63" s="42">
        <f>'2025-26 Annual Budget'!P64</f>
        <v>0</v>
      </c>
      <c r="D63" s="42">
        <f t="shared" si="9"/>
        <v>0</v>
      </c>
      <c r="E63" s="42">
        <f t="shared" si="6"/>
        <v>0</v>
      </c>
      <c r="F63" s="42">
        <f t="shared" si="7"/>
        <v>0</v>
      </c>
      <c r="G63" s="42">
        <f t="shared" si="8"/>
        <v>0</v>
      </c>
    </row>
    <row r="64" spans="2:8" x14ac:dyDescent="0.25">
      <c r="B64" s="7" t="s">
        <v>139</v>
      </c>
      <c r="C64" s="42">
        <f>'2025-26 Annual Budget'!P65</f>
        <v>594189</v>
      </c>
      <c r="D64" s="42">
        <f t="shared" si="9"/>
        <v>606072.78</v>
      </c>
      <c r="E64" s="42">
        <f t="shared" si="6"/>
        <v>618194.23560000001</v>
      </c>
      <c r="F64" s="42">
        <f t="shared" si="7"/>
        <v>630558.12031200004</v>
      </c>
      <c r="G64" s="42">
        <f t="shared" si="8"/>
        <v>643169.28271824005</v>
      </c>
    </row>
    <row r="65" spans="1:8" x14ac:dyDescent="0.25">
      <c r="B65" s="7" t="s">
        <v>140</v>
      </c>
      <c r="C65" s="42">
        <f>'2025-26 Annual Budget'!P66</f>
        <v>66457</v>
      </c>
      <c r="D65" s="42">
        <f t="shared" si="9"/>
        <v>67786.14</v>
      </c>
      <c r="E65" s="42">
        <f t="shared" si="6"/>
        <v>69141.862800000003</v>
      </c>
      <c r="F65" s="42">
        <f t="shared" si="7"/>
        <v>70524.700056000001</v>
      </c>
      <c r="G65" s="42">
        <f t="shared" si="8"/>
        <v>71935.194057119996</v>
      </c>
    </row>
    <row r="66" spans="1:8" x14ac:dyDescent="0.25">
      <c r="B66" s="7" t="s">
        <v>141</v>
      </c>
      <c r="C66" s="42">
        <f>'2025-26 Annual Budget'!P67</f>
        <v>64511</v>
      </c>
      <c r="D66" s="42">
        <f t="shared" si="9"/>
        <v>65801.22</v>
      </c>
      <c r="E66" s="42">
        <f t="shared" si="6"/>
        <v>67117.244399999996</v>
      </c>
      <c r="F66" s="42">
        <f t="shared" si="7"/>
        <v>68459.589288000003</v>
      </c>
      <c r="G66" s="42">
        <f t="shared" si="8"/>
        <v>69828.781073760008</v>
      </c>
    </row>
    <row r="67" spans="1:8" x14ac:dyDescent="0.25">
      <c r="B67" s="7" t="s">
        <v>142</v>
      </c>
      <c r="C67" s="42">
        <f>'2025-26 Annual Budget'!P68</f>
        <v>1100</v>
      </c>
      <c r="D67" s="42">
        <f t="shared" si="9"/>
        <v>1122</v>
      </c>
      <c r="E67" s="42">
        <f t="shared" si="6"/>
        <v>1144.44</v>
      </c>
      <c r="F67" s="42">
        <f t="shared" si="7"/>
        <v>1167.3288</v>
      </c>
      <c r="G67" s="42">
        <f t="shared" si="8"/>
        <v>1190.6753759999999</v>
      </c>
    </row>
    <row r="68" spans="1:8" x14ac:dyDescent="0.25">
      <c r="B68" s="7" t="s">
        <v>143</v>
      </c>
      <c r="C68" s="42">
        <f>'2025-26 Annual Budget'!P69</f>
        <v>1600</v>
      </c>
      <c r="D68" s="42">
        <f t="shared" si="9"/>
        <v>1632</v>
      </c>
      <c r="E68" s="42">
        <f t="shared" si="6"/>
        <v>1664.64</v>
      </c>
      <c r="F68" s="42">
        <f t="shared" si="7"/>
        <v>1697.9328</v>
      </c>
      <c r="G68" s="42">
        <f t="shared" si="8"/>
        <v>1731.8914560000001</v>
      </c>
    </row>
    <row r="69" spans="1:8" hidden="1" x14ac:dyDescent="0.25">
      <c r="B69" s="7" t="s">
        <v>144</v>
      </c>
      <c r="C69" s="42">
        <f>'2025-26 Annual Budget'!P70</f>
        <v>0</v>
      </c>
      <c r="D69" s="42">
        <f t="shared" si="9"/>
        <v>0</v>
      </c>
      <c r="E69" s="42">
        <f t="shared" si="6"/>
        <v>0</v>
      </c>
      <c r="F69" s="42">
        <f t="shared" si="7"/>
        <v>0</v>
      </c>
      <c r="G69" s="42">
        <f t="shared" si="8"/>
        <v>0</v>
      </c>
    </row>
    <row r="70" spans="1:8" ht="15.75" hidden="1" customHeight="1" x14ac:dyDescent="0.25">
      <c r="B70" s="7" t="s">
        <v>145</v>
      </c>
      <c r="C70" s="42">
        <f>'2025-26 Annual Budget'!P71</f>
        <v>0</v>
      </c>
      <c r="D70" s="42">
        <f t="shared" si="9"/>
        <v>0</v>
      </c>
      <c r="E70" s="42">
        <f t="shared" si="6"/>
        <v>0</v>
      </c>
      <c r="F70" s="42">
        <f t="shared" si="7"/>
        <v>0</v>
      </c>
      <c r="G70" s="42">
        <f t="shared" si="8"/>
        <v>0</v>
      </c>
    </row>
    <row r="71" spans="1:8" hidden="1" x14ac:dyDescent="0.25">
      <c r="B71" s="7" t="s">
        <v>146</v>
      </c>
      <c r="C71" s="42">
        <f>'2025-26 Annual Budget'!P72</f>
        <v>0</v>
      </c>
      <c r="D71" s="42">
        <f t="shared" si="9"/>
        <v>0</v>
      </c>
      <c r="E71" s="42">
        <f t="shared" si="6"/>
        <v>0</v>
      </c>
      <c r="F71" s="42">
        <f t="shared" si="7"/>
        <v>0</v>
      </c>
      <c r="G71" s="42">
        <f t="shared" si="8"/>
        <v>0</v>
      </c>
    </row>
    <row r="72" spans="1:8" x14ac:dyDescent="0.25">
      <c r="B72" t="s">
        <v>15</v>
      </c>
      <c r="C72" s="42">
        <f>SUM('2025-26 Annual Budget'!D73:O73)</f>
        <v>824181</v>
      </c>
      <c r="D72" s="42">
        <f t="shared" si="9"/>
        <v>840664.62</v>
      </c>
      <c r="E72" s="42">
        <f t="shared" si="6"/>
        <v>857477.91240000003</v>
      </c>
      <c r="F72" s="42">
        <f>E72*(1+$C$4)-0.5</f>
        <v>874626.97064800002</v>
      </c>
      <c r="G72" s="42">
        <f t="shared" si="8"/>
        <v>892119.51006096008</v>
      </c>
    </row>
    <row r="73" spans="1:8" hidden="1" x14ac:dyDescent="0.25">
      <c r="B73" s="7" t="s">
        <v>65</v>
      </c>
      <c r="C73" s="42">
        <f>SUM('2025-26 Annual Budget'!D74:O74)</f>
        <v>0</v>
      </c>
      <c r="D73" s="42">
        <f t="shared" si="9"/>
        <v>0</v>
      </c>
      <c r="E73" s="42">
        <f t="shared" si="6"/>
        <v>0</v>
      </c>
      <c r="F73" s="42">
        <f t="shared" si="7"/>
        <v>0</v>
      </c>
      <c r="G73" s="42">
        <f t="shared" si="8"/>
        <v>0</v>
      </c>
    </row>
    <row r="74" spans="1:8" x14ac:dyDescent="0.25">
      <c r="B74" s="13" t="s">
        <v>24</v>
      </c>
      <c r="C74" s="53">
        <f>SUM(C29:C73)</f>
        <v>26419621</v>
      </c>
      <c r="D74" s="53">
        <f>SUM(D29:D73)</f>
        <v>26948013.420000002</v>
      </c>
      <c r="E74" s="53">
        <f>SUM(E29:E73)</f>
        <v>27486974.688399997</v>
      </c>
      <c r="F74" s="53">
        <f>SUM(F29:F73)</f>
        <v>28036714.382168002</v>
      </c>
      <c r="G74" s="53">
        <f>SUM(G29:G73)</f>
        <v>28597450.169811357</v>
      </c>
    </row>
    <row r="75" spans="1:8" x14ac:dyDescent="0.25">
      <c r="B75" s="2"/>
      <c r="C75" s="45"/>
      <c r="D75" s="46"/>
      <c r="E75" s="46"/>
      <c r="F75" s="46"/>
      <c r="G75" s="46"/>
      <c r="H75" s="42"/>
    </row>
    <row r="76" spans="1:8" s="1" customFormat="1" ht="18.75" x14ac:dyDescent="0.3">
      <c r="A76" s="1" t="s">
        <v>108</v>
      </c>
      <c r="C76" s="47">
        <f>C26-C74</f>
        <v>1715508</v>
      </c>
      <c r="D76" s="47">
        <f>D26-D74</f>
        <v>1749818.1599999964</v>
      </c>
      <c r="E76" s="47">
        <f>E26-E74</f>
        <v>1784813.5232000053</v>
      </c>
      <c r="F76" s="47">
        <f>F26-F74</f>
        <v>1820509.5936639905</v>
      </c>
      <c r="G76" s="47">
        <f>G26-G74</f>
        <v>1856918.2855372913</v>
      </c>
      <c r="H76" s="179"/>
    </row>
    <row r="77" spans="1:8" x14ac:dyDescent="0.25">
      <c r="B77" s="2"/>
      <c r="C77" s="45"/>
      <c r="D77" s="46"/>
      <c r="E77" s="46"/>
      <c r="F77" s="46"/>
      <c r="G77" s="46"/>
    </row>
    <row r="78" spans="1:8" x14ac:dyDescent="0.25">
      <c r="B78" t="s">
        <v>111</v>
      </c>
      <c r="C78" s="42">
        <v>0</v>
      </c>
      <c r="D78" s="42">
        <v>0</v>
      </c>
      <c r="E78" s="42">
        <v>0</v>
      </c>
      <c r="F78" s="42">
        <v>0</v>
      </c>
      <c r="G78" s="42">
        <v>0</v>
      </c>
      <c r="H78" s="24"/>
    </row>
    <row r="79" spans="1:8" x14ac:dyDescent="0.25">
      <c r="B79" t="s">
        <v>112</v>
      </c>
      <c r="C79" s="42">
        <v>0</v>
      </c>
      <c r="D79" s="42">
        <v>0</v>
      </c>
      <c r="E79" s="42">
        <v>0</v>
      </c>
      <c r="F79" s="42">
        <v>0</v>
      </c>
      <c r="G79" s="42">
        <v>0</v>
      </c>
      <c r="H79" s="175"/>
    </row>
    <row r="80" spans="1:8" x14ac:dyDescent="0.25">
      <c r="B80" t="s">
        <v>70</v>
      </c>
      <c r="C80" s="45">
        <f>'5 YR FP - DEPT'!C79</f>
        <v>-151500</v>
      </c>
      <c r="D80" s="46">
        <f>C80*(1+$C$4)</f>
        <v>-154530</v>
      </c>
      <c r="E80" s="46">
        <f t="shared" ref="E80:G80" si="11">D80*(1+$C$4)</f>
        <v>-157620.6</v>
      </c>
      <c r="F80" s="46">
        <f t="shared" si="11"/>
        <v>-160773.01200000002</v>
      </c>
      <c r="G80" s="46">
        <f t="shared" si="11"/>
        <v>-163988.47224000003</v>
      </c>
      <c r="H80" s="175">
        <f>C76+C80</f>
        <v>1564008</v>
      </c>
    </row>
    <row r="81" spans="1:8" x14ac:dyDescent="0.25">
      <c r="B81" s="13" t="s">
        <v>23</v>
      </c>
      <c r="C81" s="48">
        <f>SUM(C78:C80)</f>
        <v>-151500</v>
      </c>
      <c r="D81" s="51">
        <f>SUM(D78:D80)</f>
        <v>-154530</v>
      </c>
      <c r="E81" s="51">
        <f>SUM(E78:E80)</f>
        <v>-157620.6</v>
      </c>
      <c r="F81" s="51">
        <f>SUM(F78:F80)</f>
        <v>-160773.01200000002</v>
      </c>
      <c r="G81" s="51">
        <f>SUM(G78:G80)</f>
        <v>-163988.47224000003</v>
      </c>
      <c r="H81" s="175">
        <f>H80+'2025-26 Annual Budget'!P99</f>
        <v>1359149</v>
      </c>
    </row>
    <row r="82" spans="1:8" x14ac:dyDescent="0.25">
      <c r="C82" s="42"/>
      <c r="D82" s="42"/>
      <c r="E82" s="42"/>
      <c r="F82" s="42"/>
      <c r="G82" s="42"/>
      <c r="H82" s="42">
        <f>H81+C92+C84</f>
        <v>1129290</v>
      </c>
    </row>
    <row r="83" spans="1:8" x14ac:dyDescent="0.25">
      <c r="A83" s="2" t="s">
        <v>80</v>
      </c>
      <c r="C83" s="49"/>
      <c r="D83" s="50"/>
      <c r="E83" s="50"/>
      <c r="F83" s="50"/>
      <c r="G83" s="50"/>
      <c r="H83" s="42"/>
    </row>
    <row r="84" spans="1:8" x14ac:dyDescent="0.25">
      <c r="A84" s="2"/>
      <c r="B84" t="s">
        <v>67</v>
      </c>
      <c r="C84" s="49">
        <f>-'2025-26 Annual Budget'!P80</f>
        <v>-25000</v>
      </c>
      <c r="D84" s="42">
        <f t="shared" ref="D84:E89" si="12">C84*(1+$C$4)</f>
        <v>-25500</v>
      </c>
      <c r="E84" s="42">
        <f t="shared" si="12"/>
        <v>-26010</v>
      </c>
      <c r="F84" s="42">
        <f>E84*(1+$C$4)</f>
        <v>-26530.2</v>
      </c>
      <c r="G84" s="42">
        <f t="shared" ref="G84:G87" si="13">F84*(1+$C$4)</f>
        <v>-27060.804</v>
      </c>
      <c r="H84" s="42"/>
    </row>
    <row r="85" spans="1:8" hidden="1" x14ac:dyDescent="0.25">
      <c r="A85" s="2"/>
      <c r="B85" t="s">
        <v>10</v>
      </c>
      <c r="C85" s="49">
        <f>-'2025-26 Annual Budget'!P81</f>
        <v>0</v>
      </c>
      <c r="D85" s="42">
        <f t="shared" si="12"/>
        <v>0</v>
      </c>
      <c r="E85" s="42">
        <f t="shared" si="12"/>
        <v>0</v>
      </c>
      <c r="F85" s="42">
        <f t="shared" ref="F85:F87" si="14">E85*(1+$C$4)</f>
        <v>0</v>
      </c>
      <c r="G85" s="42">
        <f t="shared" si="13"/>
        <v>0</v>
      </c>
    </row>
    <row r="86" spans="1:8" x14ac:dyDescent="0.25">
      <c r="A86" s="2"/>
      <c r="B86" t="s">
        <v>9</v>
      </c>
      <c r="C86" s="49">
        <f>-'2025-26 Annual Budget'!P82</f>
        <v>0</v>
      </c>
      <c r="D86" s="42">
        <f t="shared" si="12"/>
        <v>0</v>
      </c>
      <c r="E86" s="42">
        <f t="shared" si="12"/>
        <v>0</v>
      </c>
      <c r="F86" s="42">
        <f t="shared" si="14"/>
        <v>0</v>
      </c>
      <c r="G86" s="42">
        <f t="shared" si="13"/>
        <v>0</v>
      </c>
      <c r="H86" s="42"/>
    </row>
    <row r="87" spans="1:8" x14ac:dyDescent="0.25">
      <c r="A87" s="2"/>
      <c r="B87" t="s">
        <v>121</v>
      </c>
      <c r="C87" s="49">
        <f>-'2025-26 Annual Budget'!P83</f>
        <v>0</v>
      </c>
      <c r="D87" s="42">
        <f t="shared" si="12"/>
        <v>0</v>
      </c>
      <c r="E87" s="42">
        <f t="shared" si="12"/>
        <v>0</v>
      </c>
      <c r="F87" s="42">
        <f t="shared" si="14"/>
        <v>0</v>
      </c>
      <c r="G87" s="42">
        <f t="shared" si="13"/>
        <v>0</v>
      </c>
      <c r="H87" s="42"/>
    </row>
    <row r="88" spans="1:8" hidden="1" x14ac:dyDescent="0.25">
      <c r="A88" s="2"/>
      <c r="B88" t="s">
        <v>68</v>
      </c>
      <c r="C88" s="49">
        <f>-'2025-26 Annual Budget'!P84</f>
        <v>0</v>
      </c>
      <c r="D88" s="42">
        <f t="shared" si="12"/>
        <v>0</v>
      </c>
      <c r="E88" s="42">
        <f t="shared" ref="E88:E89" si="15">D88*(1+$C$4)</f>
        <v>0</v>
      </c>
      <c r="F88" s="42">
        <f t="shared" ref="F88:F89" si="16">E88*(1+$C$4)</f>
        <v>0</v>
      </c>
      <c r="G88" s="42">
        <f t="shared" ref="G88:G89" si="17">F88*(1+$C$4)</f>
        <v>0</v>
      </c>
    </row>
    <row r="89" spans="1:8" hidden="1" x14ac:dyDescent="0.25">
      <c r="A89" s="2"/>
      <c r="B89" t="s">
        <v>69</v>
      </c>
      <c r="C89" s="49">
        <f>-'2025-26 Annual Budget'!P85</f>
        <v>0</v>
      </c>
      <c r="D89" s="42">
        <f t="shared" si="12"/>
        <v>0</v>
      </c>
      <c r="E89" s="42">
        <f t="shared" si="15"/>
        <v>0</v>
      </c>
      <c r="F89" s="42">
        <f t="shared" si="16"/>
        <v>0</v>
      </c>
      <c r="G89" s="42">
        <f t="shared" si="17"/>
        <v>0</v>
      </c>
    </row>
    <row r="90" spans="1:8" x14ac:dyDescent="0.25">
      <c r="A90" s="2"/>
      <c r="B90" s="2" t="s">
        <v>8</v>
      </c>
      <c r="C90" s="43">
        <f>SUM(C84:C89)</f>
        <v>-25000</v>
      </c>
      <c r="D90" s="43">
        <f>SUM(D84:D89)</f>
        <v>-25500</v>
      </c>
      <c r="E90" s="43">
        <f>SUM(E84:E89)</f>
        <v>-26010</v>
      </c>
      <c r="F90" s="43">
        <f>SUM(F84:F89)</f>
        <v>-26530.2</v>
      </c>
      <c r="G90" s="43">
        <f>SUM(G84:G89)</f>
        <v>-27060.804</v>
      </c>
      <c r="H90" s="42"/>
    </row>
    <row r="91" spans="1:8" x14ac:dyDescent="0.25">
      <c r="A91" s="2"/>
      <c r="B91" s="2"/>
      <c r="C91" s="45"/>
      <c r="D91" s="45"/>
      <c r="E91" s="45"/>
      <c r="F91" s="45"/>
      <c r="G91" s="45"/>
    </row>
    <row r="92" spans="1:8" x14ac:dyDescent="0.25">
      <c r="A92" s="2" t="s">
        <v>332</v>
      </c>
      <c r="C92" s="88">
        <f>'2025-26 Annual Budget'!P99</f>
        <v>-204859</v>
      </c>
      <c r="D92" s="88">
        <f>C92*C4+C92</f>
        <v>-208956.18</v>
      </c>
      <c r="E92" s="88">
        <f>D92*C4+D92</f>
        <v>-213135.30359999998</v>
      </c>
      <c r="F92" s="88">
        <f>E92*C4+E92</f>
        <v>-217398.00967199999</v>
      </c>
      <c r="G92" s="88">
        <f>F92*C4+F92</f>
        <v>-221745.96986543998</v>
      </c>
    </row>
    <row r="93" spans="1:8" x14ac:dyDescent="0.25">
      <c r="C93" s="42"/>
      <c r="D93" s="42"/>
      <c r="E93" s="42"/>
      <c r="F93" s="42"/>
      <c r="G93" s="42"/>
      <c r="H93" s="42"/>
    </row>
    <row r="94" spans="1:8" ht="19.5" thickBot="1" x14ac:dyDescent="0.35">
      <c r="A94" s="1" t="s">
        <v>107</v>
      </c>
      <c r="B94" s="89"/>
      <c r="C94" s="90">
        <f>C76+C81+C90+C92</f>
        <v>1334149</v>
      </c>
      <c r="D94" s="90">
        <f>D76+D81+D90+D92</f>
        <v>1360831.9799999965</v>
      </c>
      <c r="E94" s="90">
        <f>E76+E81+E90+E92</f>
        <v>1388047.6196000052</v>
      </c>
      <c r="F94" s="90">
        <f>F76+F81+F90+F92</f>
        <v>1415808.3719919904</v>
      </c>
      <c r="G94" s="90">
        <f>G76+G81+G90+G92</f>
        <v>1444123.0394318514</v>
      </c>
      <c r="H94" s="42"/>
    </row>
    <row r="95" spans="1:8" ht="15.75" thickTop="1" x14ac:dyDescent="0.25">
      <c r="C95" s="42"/>
      <c r="D95" s="42"/>
      <c r="E95" s="42"/>
      <c r="F95" s="42"/>
      <c r="G95" s="42"/>
      <c r="H95" s="42">
        <f>C94-'2025-26 Annual Budget'!P101</f>
        <v>0</v>
      </c>
    </row>
    <row r="96" spans="1:8" x14ac:dyDescent="0.25">
      <c r="A96" s="2" t="s">
        <v>101</v>
      </c>
      <c r="C96" s="42"/>
      <c r="D96" s="42"/>
      <c r="E96" s="42"/>
      <c r="F96" s="42"/>
      <c r="G96" s="42"/>
    </row>
    <row r="97" spans="2:8" x14ac:dyDescent="0.25">
      <c r="B97" t="s">
        <v>71</v>
      </c>
      <c r="C97" s="42">
        <f>'Budget adjustments'!F5</f>
        <v>20098535</v>
      </c>
      <c r="D97" s="42">
        <f>C99</f>
        <v>21432684</v>
      </c>
      <c r="E97" s="42">
        <f t="shared" ref="E97:G97" si="18">D99</f>
        <v>22793515.979999997</v>
      </c>
      <c r="F97" s="42">
        <f t="shared" si="18"/>
        <v>24181563.599600002</v>
      </c>
      <c r="G97" s="42">
        <f t="shared" si="18"/>
        <v>25597371.271591991</v>
      </c>
      <c r="H97" s="42"/>
    </row>
    <row r="98" spans="2:8" x14ac:dyDescent="0.25">
      <c r="B98" t="s">
        <v>103</v>
      </c>
      <c r="C98" s="42">
        <f>C94</f>
        <v>1334149</v>
      </c>
      <c r="D98" s="42">
        <f t="shared" ref="D98:G98" si="19">D94</f>
        <v>1360831.9799999965</v>
      </c>
      <c r="E98" s="42">
        <f t="shared" si="19"/>
        <v>1388047.6196000052</v>
      </c>
      <c r="F98" s="42">
        <f>F94-0.7</f>
        <v>1415807.6719919904</v>
      </c>
      <c r="G98" s="42">
        <f t="shared" si="19"/>
        <v>1444123.0394318514</v>
      </c>
    </row>
    <row r="99" spans="2:8" ht="15.75" thickBot="1" x14ac:dyDescent="0.3">
      <c r="B99" t="s">
        <v>73</v>
      </c>
      <c r="C99" s="77">
        <f>C97+C98</f>
        <v>21432684</v>
      </c>
      <c r="D99" s="77">
        <f t="shared" ref="D99:G99" si="20">D97+D98</f>
        <v>22793515.979999997</v>
      </c>
      <c r="E99" s="77">
        <f t="shared" si="20"/>
        <v>24181563.599600002</v>
      </c>
      <c r="F99" s="77">
        <f t="shared" si="20"/>
        <v>25597371.271591991</v>
      </c>
      <c r="G99" s="77">
        <f t="shared" si="20"/>
        <v>27041494.311023843</v>
      </c>
    </row>
    <row r="100" spans="2:8" ht="15.75" thickTop="1" x14ac:dyDescent="0.25">
      <c r="H100" s="42"/>
    </row>
    <row r="101" spans="2:8" ht="15.75" thickBot="1" x14ac:dyDescent="0.3">
      <c r="H101" s="42"/>
    </row>
    <row r="102" spans="2:8" ht="126" customHeight="1" thickBot="1" x14ac:dyDescent="0.3">
      <c r="B102" s="233" t="s">
        <v>262</v>
      </c>
      <c r="C102" s="234"/>
      <c r="D102" s="234"/>
      <c r="E102" s="234"/>
      <c r="F102" s="234"/>
      <c r="G102" s="235"/>
    </row>
    <row r="103" spans="2:8" ht="15.75" thickBot="1" x14ac:dyDescent="0.3"/>
    <row r="104" spans="2:8" ht="30.75" customHeight="1" thickBot="1" x14ac:dyDescent="0.3">
      <c r="B104" s="230" t="s">
        <v>109</v>
      </c>
      <c r="C104" s="231"/>
      <c r="D104" s="231"/>
      <c r="E104" s="231"/>
      <c r="F104" s="231"/>
      <c r="G104" s="232"/>
    </row>
    <row r="105" spans="2:8" x14ac:dyDescent="0.25">
      <c r="B105" s="25"/>
    </row>
    <row r="106" spans="2:8" x14ac:dyDescent="0.25">
      <c r="B106" s="24"/>
    </row>
  </sheetData>
  <mergeCells count="2">
    <mergeCell ref="B104:G104"/>
    <mergeCell ref="B102:G102"/>
  </mergeCells>
  <pageMargins left="0.70866141732283472" right="0.70866141732283472" top="0.74803149606299213" bottom="0.74803149606299213" header="0.31496062992125984" footer="0.31496062992125984"/>
  <pageSetup scale="60" orientation="portrait" r:id="rId1"/>
  <headerFooter>
    <oddHeader xml:space="preserve">&amp;C&amp;"-,Bold"&amp;16
Sample First Nation 
2017 - 2021 Financial Plan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8453A-0F9A-4D29-A9BA-4A6D10327268}">
  <dimension ref="A1:I160"/>
  <sheetViews>
    <sheetView topLeftCell="A4" workbookViewId="0">
      <selection activeCell="C96" sqref="C96:G96"/>
    </sheetView>
  </sheetViews>
  <sheetFormatPr defaultColWidth="9.140625" defaultRowHeight="15" x14ac:dyDescent="0.25"/>
  <cols>
    <col min="1" max="1" width="10.28515625" customWidth="1"/>
    <col min="2" max="2" width="54.85546875" customWidth="1"/>
    <col min="3" max="7" width="18.42578125" bestFit="1" customWidth="1"/>
    <col min="9" max="9" width="14.140625" bestFit="1" customWidth="1"/>
  </cols>
  <sheetData>
    <row r="1" spans="1:7" ht="18.75" x14ac:dyDescent="0.3">
      <c r="A1" s="1" t="s">
        <v>29</v>
      </c>
      <c r="B1" s="1"/>
      <c r="C1" s="1"/>
      <c r="D1" s="1"/>
      <c r="E1" s="1"/>
      <c r="F1" s="1"/>
      <c r="G1" s="1"/>
    </row>
    <row r="2" spans="1:7" ht="18.75" x14ac:dyDescent="0.3">
      <c r="A2" s="4" t="s">
        <v>310</v>
      </c>
      <c r="B2" s="1"/>
      <c r="C2" s="1"/>
      <c r="D2" s="1"/>
      <c r="E2" s="1"/>
      <c r="F2" s="1"/>
      <c r="G2" s="1"/>
    </row>
    <row r="3" spans="1:7" ht="15.75" thickBot="1" x14ac:dyDescent="0.3"/>
    <row r="4" spans="1:7" ht="15.75" thickBot="1" x14ac:dyDescent="0.3">
      <c r="B4" t="s">
        <v>22</v>
      </c>
      <c r="C4" s="56">
        <f>'5 YR FP - NATURE'!C4</f>
        <v>0.02</v>
      </c>
    </row>
    <row r="5" spans="1:7" x14ac:dyDescent="0.25">
      <c r="C5" s="2"/>
      <c r="D5" s="2"/>
      <c r="E5" s="2"/>
      <c r="F5" s="2"/>
      <c r="G5" s="2"/>
    </row>
    <row r="6" spans="1:7" x14ac:dyDescent="0.25">
      <c r="C6" s="37" t="s">
        <v>30</v>
      </c>
      <c r="D6" s="37" t="s">
        <v>117</v>
      </c>
      <c r="E6" s="37" t="s">
        <v>147</v>
      </c>
      <c r="F6" s="37" t="s">
        <v>279</v>
      </c>
      <c r="G6" s="37" t="s">
        <v>309</v>
      </c>
    </row>
    <row r="8" spans="1:7" x14ac:dyDescent="0.25">
      <c r="A8" s="2" t="s">
        <v>1</v>
      </c>
    </row>
    <row r="9" spans="1:7" x14ac:dyDescent="0.25">
      <c r="B9" t="s">
        <v>74</v>
      </c>
      <c r="C9" s="42">
        <f>'2025-26 Annual Budget'!D27</f>
        <v>3258382</v>
      </c>
      <c r="D9" s="42">
        <f t="shared" ref="D9:G20" si="0">C9*(1+$C$4)</f>
        <v>3323549.64</v>
      </c>
      <c r="E9" s="42">
        <f t="shared" si="0"/>
        <v>3390020.6328000003</v>
      </c>
      <c r="F9" s="42">
        <f t="shared" si="0"/>
        <v>3457821.0454560001</v>
      </c>
      <c r="G9" s="42">
        <f t="shared" si="0"/>
        <v>3526977.4663651204</v>
      </c>
    </row>
    <row r="10" spans="1:7" x14ac:dyDescent="0.25">
      <c r="B10" t="s">
        <v>31</v>
      </c>
      <c r="C10" s="42">
        <f>'2025-26 Annual Budget'!E27</f>
        <v>457808</v>
      </c>
      <c r="D10" s="42">
        <f t="shared" si="0"/>
        <v>466964.16000000003</v>
      </c>
      <c r="E10" s="42">
        <f t="shared" si="0"/>
        <v>476303.44320000004</v>
      </c>
      <c r="F10" s="42">
        <f t="shared" si="0"/>
        <v>485829.51206400007</v>
      </c>
      <c r="G10" s="42">
        <f t="shared" si="0"/>
        <v>495546.1023052801</v>
      </c>
    </row>
    <row r="11" spans="1:7" x14ac:dyDescent="0.25">
      <c r="B11" t="s">
        <v>10</v>
      </c>
      <c r="C11" s="42">
        <f>'2025-26 Annual Budget'!F27</f>
        <v>10633039</v>
      </c>
      <c r="D11" s="42">
        <f t="shared" si="0"/>
        <v>10845699.779999999</v>
      </c>
      <c r="E11" s="42">
        <f t="shared" si="0"/>
        <v>11062613.775599999</v>
      </c>
      <c r="F11" s="42">
        <f t="shared" si="0"/>
        <v>11283866.051112</v>
      </c>
      <c r="G11" s="42">
        <f t="shared" si="0"/>
        <v>11509543.37213424</v>
      </c>
    </row>
    <row r="12" spans="1:7" x14ac:dyDescent="0.25">
      <c r="B12" t="s">
        <v>9</v>
      </c>
      <c r="C12" s="42">
        <f>'2025-26 Annual Budget'!G27</f>
        <v>5639890</v>
      </c>
      <c r="D12" s="42">
        <f t="shared" si="0"/>
        <v>5752687.7999999998</v>
      </c>
      <c r="E12" s="42">
        <f t="shared" si="0"/>
        <v>5867741.5559999999</v>
      </c>
      <c r="F12" s="42">
        <f t="shared" si="0"/>
        <v>5985096.3871200001</v>
      </c>
      <c r="G12" s="42">
        <f t="shared" si="0"/>
        <v>6104798.3148624003</v>
      </c>
    </row>
    <row r="13" spans="1:7" x14ac:dyDescent="0.25">
      <c r="B13" t="s">
        <v>32</v>
      </c>
      <c r="C13" s="42">
        <f>'2025-26 Annual Budget'!H27</f>
        <v>2223356</v>
      </c>
      <c r="D13" s="42">
        <f>((C13*(1+$C$4)))</f>
        <v>2267823.12</v>
      </c>
      <c r="E13" s="42">
        <f>(D13)*(1+$C$4)</f>
        <v>2313179.5824000002</v>
      </c>
      <c r="F13" s="42">
        <f t="shared" si="0"/>
        <v>2359443.174048</v>
      </c>
      <c r="G13" s="42">
        <f t="shared" si="0"/>
        <v>2406632.03752896</v>
      </c>
    </row>
    <row r="14" spans="1:7" x14ac:dyDescent="0.25">
      <c r="B14" t="s">
        <v>34</v>
      </c>
      <c r="C14" s="42">
        <f>'2025-26 Annual Budget'!I27</f>
        <v>52559</v>
      </c>
      <c r="D14" s="42">
        <f t="shared" si="0"/>
        <v>53610.18</v>
      </c>
      <c r="E14" s="42">
        <f t="shared" si="0"/>
        <v>54682.383600000001</v>
      </c>
      <c r="F14" s="42">
        <f t="shared" si="0"/>
        <v>55776.031272</v>
      </c>
      <c r="G14" s="42">
        <f t="shared" si="0"/>
        <v>56891.551897440004</v>
      </c>
    </row>
    <row r="15" spans="1:7" x14ac:dyDescent="0.25">
      <c r="B15" t="s">
        <v>35</v>
      </c>
      <c r="C15" s="42">
        <f>'2025-26 Annual Budget'!J27</f>
        <v>2019632</v>
      </c>
      <c r="D15" s="42">
        <f t="shared" si="0"/>
        <v>2060024.6400000001</v>
      </c>
      <c r="E15" s="42">
        <f t="shared" si="0"/>
        <v>2101225.1328000003</v>
      </c>
      <c r="F15" s="42">
        <f t="shared" si="0"/>
        <v>2143249.6354560005</v>
      </c>
      <c r="G15" s="42">
        <f t="shared" si="0"/>
        <v>2186114.6281651207</v>
      </c>
    </row>
    <row r="16" spans="1:7" x14ac:dyDescent="0.25">
      <c r="B16" t="s">
        <v>36</v>
      </c>
      <c r="C16" s="42">
        <f>'2025-26 Annual Budget'!K27</f>
        <v>434998</v>
      </c>
      <c r="D16" s="42">
        <f t="shared" si="0"/>
        <v>443697.96</v>
      </c>
      <c r="E16" s="42">
        <f t="shared" si="0"/>
        <v>452571.9192</v>
      </c>
      <c r="F16" s="42">
        <f t="shared" si="0"/>
        <v>461623.35758399998</v>
      </c>
      <c r="G16" s="42">
        <f t="shared" si="0"/>
        <v>470855.82473568001</v>
      </c>
    </row>
    <row r="17" spans="1:7" x14ac:dyDescent="0.25">
      <c r="B17" t="s">
        <v>33</v>
      </c>
      <c r="C17" s="42">
        <f>'2025-26 Annual Budget'!L27</f>
        <v>107019</v>
      </c>
      <c r="D17" s="42">
        <f t="shared" si="0"/>
        <v>109159.38</v>
      </c>
      <c r="E17" s="42">
        <f t="shared" si="0"/>
        <v>111342.56760000001</v>
      </c>
      <c r="F17" s="42">
        <f t="shared" si="0"/>
        <v>113569.41895200001</v>
      </c>
      <c r="G17" s="42">
        <f t="shared" si="0"/>
        <v>115840.80733104001</v>
      </c>
    </row>
    <row r="18" spans="1:7" x14ac:dyDescent="0.25">
      <c r="B18" t="s">
        <v>118</v>
      </c>
      <c r="C18" s="42">
        <f>'2025-26 Annual Budget'!M27</f>
        <v>1318135</v>
      </c>
      <c r="D18" s="42">
        <f t="shared" si="0"/>
        <v>1344497.7</v>
      </c>
      <c r="E18" s="42">
        <f t="shared" si="0"/>
        <v>1371387.6539999999</v>
      </c>
      <c r="F18" s="42">
        <f t="shared" si="0"/>
        <v>1398815.4070799998</v>
      </c>
      <c r="G18" s="42">
        <f t="shared" si="0"/>
        <v>1426791.7152215999</v>
      </c>
    </row>
    <row r="19" spans="1:7" x14ac:dyDescent="0.25">
      <c r="B19" t="s">
        <v>330</v>
      </c>
      <c r="C19" s="42">
        <f>'2025-26 Annual Budget'!N27</f>
        <v>904538</v>
      </c>
      <c r="D19" s="42">
        <f t="shared" si="0"/>
        <v>922628.76</v>
      </c>
      <c r="E19" s="42">
        <f t="shared" si="0"/>
        <v>941081.33519999997</v>
      </c>
      <c r="F19" s="42">
        <f t="shared" si="0"/>
        <v>959902.96190400003</v>
      </c>
      <c r="G19" s="42">
        <f t="shared" si="0"/>
        <v>979101.02114208008</v>
      </c>
    </row>
    <row r="20" spans="1:7" x14ac:dyDescent="0.25">
      <c r="B20" t="s">
        <v>331</v>
      </c>
      <c r="C20" s="42">
        <f>'2025-26 Annual Budget'!O27</f>
        <v>1085773</v>
      </c>
      <c r="D20" s="42">
        <f t="shared" si="0"/>
        <v>1107488.46</v>
      </c>
      <c r="E20" s="42">
        <f t="shared" si="0"/>
        <v>1129638.2291999999</v>
      </c>
      <c r="F20" s="42">
        <f t="shared" si="0"/>
        <v>1152230.9937839999</v>
      </c>
      <c r="G20" s="42">
        <f t="shared" si="0"/>
        <v>1175275.6136596799</v>
      </c>
    </row>
    <row r="21" spans="1:7" x14ac:dyDescent="0.25">
      <c r="B21" s="13" t="s">
        <v>25</v>
      </c>
      <c r="C21" s="53">
        <f>SUM(C9:C20)</f>
        <v>28135129</v>
      </c>
      <c r="D21" s="54">
        <f>SUM(D9:D20)</f>
        <v>28697831.580000002</v>
      </c>
      <c r="E21" s="54">
        <f>SUM(E9:E20)</f>
        <v>29271788.211600006</v>
      </c>
      <c r="F21" s="54">
        <f>SUM(F9:F20)</f>
        <v>29857223.975831997</v>
      </c>
      <c r="G21" s="54">
        <f>SUM(G9:G20)</f>
        <v>30454368.455348641</v>
      </c>
    </row>
    <row r="22" spans="1:7" x14ac:dyDescent="0.25">
      <c r="B22" t="s">
        <v>11</v>
      </c>
      <c r="C22" s="42"/>
      <c r="D22" s="42"/>
      <c r="E22" s="42"/>
      <c r="F22" s="42"/>
      <c r="G22" s="42"/>
    </row>
    <row r="23" spans="1:7" x14ac:dyDescent="0.25">
      <c r="A23" s="2" t="s">
        <v>2</v>
      </c>
      <c r="C23" s="42"/>
      <c r="D23" s="42"/>
      <c r="E23" s="42"/>
      <c r="F23" s="42"/>
      <c r="G23" s="42"/>
    </row>
    <row r="24" spans="1:7" x14ac:dyDescent="0.25">
      <c r="B24" t="str">
        <f t="shared" ref="B24:B32" si="1">B9</f>
        <v>Administration and Band Governance</v>
      </c>
      <c r="C24" s="42">
        <f>'2025-26 Annual Budget'!D75</f>
        <v>2276359</v>
      </c>
      <c r="D24" s="42">
        <f>C24*(1+$C$4)</f>
        <v>2321886.1800000002</v>
      </c>
      <c r="E24" s="42">
        <f>D24*(1+$C$4)</f>
        <v>2368323.9036000003</v>
      </c>
      <c r="F24" s="42">
        <f>E24*(1+$C$4)</f>
        <v>2415690.3816720005</v>
      </c>
      <c r="G24" s="42">
        <f t="shared" ref="G24" si="2">F24*(1+$C$4)</f>
        <v>2464004.1893054405</v>
      </c>
    </row>
    <row r="25" spans="1:7" x14ac:dyDescent="0.25">
      <c r="B25" t="str">
        <f t="shared" si="1"/>
        <v>Human Resources Development</v>
      </c>
      <c r="C25" s="42">
        <f>'2025-26 Annual Budget'!E75</f>
        <v>457808</v>
      </c>
      <c r="D25" s="42">
        <f t="shared" ref="D25:D34" si="3">C25*(1+$C$4)</f>
        <v>466964.16000000003</v>
      </c>
      <c r="E25" s="42">
        <f t="shared" ref="E25:E32" si="4">D25*(1+$C$4)</f>
        <v>476303.44320000004</v>
      </c>
      <c r="F25" s="42">
        <f>E25*(1+$C$4)</f>
        <v>485829.51206400007</v>
      </c>
      <c r="G25" s="42">
        <f t="shared" ref="G25:G35" si="5">F25*(1+$C$4)</f>
        <v>495546.1023052801</v>
      </c>
    </row>
    <row r="26" spans="1:7" x14ac:dyDescent="0.25">
      <c r="B26" t="str">
        <f t="shared" si="1"/>
        <v>Education</v>
      </c>
      <c r="C26" s="42">
        <f>'2025-26 Annual Budget'!F75+C70</f>
        <v>11425915</v>
      </c>
      <c r="D26" s="42">
        <f t="shared" si="3"/>
        <v>11654433.300000001</v>
      </c>
      <c r="E26" s="42">
        <f t="shared" si="4"/>
        <v>11887521.966000002</v>
      </c>
      <c r="F26" s="42">
        <f t="shared" ref="F26:F35" si="6">E26*(1+$C$4)</f>
        <v>12125272.405320002</v>
      </c>
      <c r="G26" s="42">
        <f>F26*(1+$C$4)+1</f>
        <v>12367778.853426402</v>
      </c>
    </row>
    <row r="27" spans="1:7" x14ac:dyDescent="0.25">
      <c r="B27" t="str">
        <f t="shared" si="1"/>
        <v>Health</v>
      </c>
      <c r="C27" s="42">
        <f>'2025-26 Annual Budget'!G75+C71</f>
        <v>5338548</v>
      </c>
      <c r="D27" s="42">
        <f t="shared" si="3"/>
        <v>5445318.96</v>
      </c>
      <c r="E27" s="42">
        <f t="shared" si="4"/>
        <v>5554225.3392000003</v>
      </c>
      <c r="F27" s="42">
        <f t="shared" si="6"/>
        <v>5665309.8459840007</v>
      </c>
      <c r="G27" s="42">
        <f t="shared" si="5"/>
        <v>5778616.0429036813</v>
      </c>
    </row>
    <row r="28" spans="1:7" x14ac:dyDescent="0.25">
      <c r="B28" t="str">
        <f t="shared" si="1"/>
        <v>Public Works</v>
      </c>
      <c r="C28" s="42">
        <f>'2025-26 Annual Budget'!H75+C72</f>
        <v>1354483</v>
      </c>
      <c r="D28" s="42">
        <f>(C28)*(1+$C$4)</f>
        <v>1381572.66</v>
      </c>
      <c r="E28" s="42">
        <f>(D28)*(1+$C$4)</f>
        <v>1409204.1132</v>
      </c>
      <c r="F28" s="42">
        <f>E28*(1+$C$4)</f>
        <v>1437388.1954640001</v>
      </c>
      <c r="G28" s="42">
        <f>F28*(1+$C$4)+1</f>
        <v>1466136.9593732802</v>
      </c>
    </row>
    <row r="29" spans="1:7" x14ac:dyDescent="0.25">
      <c r="B29" t="str">
        <f t="shared" si="1"/>
        <v>Fire Protection</v>
      </c>
      <c r="C29" s="42">
        <f>'2025-26 Annual Budget'!I75</f>
        <v>310657</v>
      </c>
      <c r="D29" s="42">
        <f t="shared" si="3"/>
        <v>316870.14</v>
      </c>
      <c r="E29" s="42">
        <f t="shared" si="4"/>
        <v>323207.5428</v>
      </c>
      <c r="F29" s="42">
        <f t="shared" si="6"/>
        <v>329671.69365600002</v>
      </c>
      <c r="G29" s="42">
        <f>F29*(1+$C$4)</f>
        <v>336265.12752912001</v>
      </c>
    </row>
    <row r="30" spans="1:7" x14ac:dyDescent="0.25">
      <c r="B30" t="str">
        <f t="shared" si="1"/>
        <v>Social Assistance</v>
      </c>
      <c r="C30" s="42">
        <f>'2025-26 Annual Budget'!J75</f>
        <v>1838488</v>
      </c>
      <c r="D30" s="42">
        <f t="shared" si="3"/>
        <v>1875257.76</v>
      </c>
      <c r="E30" s="42">
        <f t="shared" si="4"/>
        <v>1912762.9151999999</v>
      </c>
      <c r="F30" s="42">
        <f t="shared" si="6"/>
        <v>1951018.1735040001</v>
      </c>
      <c r="G30" s="42">
        <f t="shared" si="5"/>
        <v>1990038.5369740801</v>
      </c>
    </row>
    <row r="31" spans="1:7" x14ac:dyDescent="0.25">
      <c r="B31" t="str">
        <f t="shared" si="1"/>
        <v>Housing</v>
      </c>
      <c r="C31" s="42">
        <f>'2025-26 Annual Budget'!K75+C75</f>
        <v>393485</v>
      </c>
      <c r="D31" s="42">
        <f>C31*(1+$C$4)</f>
        <v>401354.7</v>
      </c>
      <c r="E31" s="42">
        <f t="shared" si="4"/>
        <v>409381.79399999999</v>
      </c>
      <c r="F31" s="42">
        <f t="shared" si="6"/>
        <v>417569.42988000001</v>
      </c>
      <c r="G31" s="42">
        <f t="shared" si="5"/>
        <v>425920.8184776</v>
      </c>
    </row>
    <row r="32" spans="1:7" x14ac:dyDescent="0.25">
      <c r="B32" t="str">
        <f t="shared" si="1"/>
        <v>Economic Development</v>
      </c>
      <c r="C32" s="42">
        <f>'2025-26 Annual Budget'!L75</f>
        <v>107019</v>
      </c>
      <c r="D32" s="42">
        <f t="shared" si="3"/>
        <v>109159.38</v>
      </c>
      <c r="E32" s="42">
        <f t="shared" si="4"/>
        <v>111342.56760000001</v>
      </c>
      <c r="F32" s="42">
        <f t="shared" si="6"/>
        <v>113569.41895200001</v>
      </c>
      <c r="G32" s="42">
        <f t="shared" si="5"/>
        <v>115840.80733104001</v>
      </c>
    </row>
    <row r="33" spans="1:9" x14ac:dyDescent="0.25">
      <c r="B33" t="s">
        <v>118</v>
      </c>
      <c r="C33" s="42">
        <f>'2025-26 Annual Budget'!M75</f>
        <v>1318135</v>
      </c>
      <c r="D33" s="42">
        <f t="shared" si="3"/>
        <v>1344497.7</v>
      </c>
      <c r="E33" s="42">
        <f t="shared" ref="E33:E34" si="7">D33*(1+$C$4)</f>
        <v>1371387.6539999999</v>
      </c>
      <c r="F33" s="42">
        <f t="shared" ref="F33:F34" si="8">E33*(1+$C$4)</f>
        <v>1398815.4070799998</v>
      </c>
      <c r="G33" s="42">
        <f t="shared" ref="G33:G34" si="9">F33*(1+$C$4)</f>
        <v>1426791.7152215999</v>
      </c>
    </row>
    <row r="34" spans="1:9" x14ac:dyDescent="0.25">
      <c r="B34" t="str">
        <f>B19</f>
        <v>Natural Ressources</v>
      </c>
      <c r="C34" s="42">
        <f>'2025-26 Annual Budget'!N75</f>
        <v>996690</v>
      </c>
      <c r="D34" s="42">
        <f t="shared" si="3"/>
        <v>1016623.8</v>
      </c>
      <c r="E34" s="42">
        <f t="shared" si="7"/>
        <v>1036956.2760000001</v>
      </c>
      <c r="F34" s="42">
        <f t="shared" si="8"/>
        <v>1057695.4015200001</v>
      </c>
      <c r="G34" s="42">
        <f t="shared" si="9"/>
        <v>1078849.3095504001</v>
      </c>
    </row>
    <row r="35" spans="1:9" x14ac:dyDescent="0.25">
      <c r="B35" t="str">
        <f t="shared" ref="B35" si="10">B20</f>
        <v>Canadian Malartic and Others</v>
      </c>
      <c r="C35" s="42">
        <f>'2025-26 Annual Budget'!O75+C78</f>
        <v>602034</v>
      </c>
      <c r="D35" s="42">
        <f>C35*(1+$C$4)</f>
        <v>614074.68000000005</v>
      </c>
      <c r="E35" s="42">
        <f>D35*(1+$C$4)+1</f>
        <v>626357.1736000001</v>
      </c>
      <c r="F35" s="42">
        <f t="shared" si="6"/>
        <v>638884.31707200012</v>
      </c>
      <c r="G35" s="42">
        <f t="shared" si="5"/>
        <v>651662.00341344008</v>
      </c>
    </row>
    <row r="36" spans="1:9" x14ac:dyDescent="0.25">
      <c r="B36" s="13" t="s">
        <v>24</v>
      </c>
      <c r="C36" s="43">
        <f>SUM(C24:C35)</f>
        <v>26419621</v>
      </c>
      <c r="D36" s="44">
        <f>SUM(D24:D35)</f>
        <v>26948013.420000002</v>
      </c>
      <c r="E36" s="44">
        <f>SUM(E24:E35)</f>
        <v>27486974.688400004</v>
      </c>
      <c r="F36" s="44">
        <f>SUM(F24:F35)</f>
        <v>28036714.182168003</v>
      </c>
      <c r="G36" s="44">
        <f>SUM(G24:G35)</f>
        <v>28597450.465811361</v>
      </c>
    </row>
    <row r="37" spans="1:9" x14ac:dyDescent="0.25">
      <c r="B37" s="2"/>
      <c r="C37" s="45"/>
      <c r="D37" s="46"/>
      <c r="E37" s="46"/>
      <c r="F37" s="46"/>
      <c r="G37" s="46"/>
    </row>
    <row r="38" spans="1:9" s="1" customFormat="1" ht="18.75" x14ac:dyDescent="0.3">
      <c r="A38" s="1" t="s">
        <v>108</v>
      </c>
      <c r="C38" s="47">
        <f>C21-C36</f>
        <v>1715508</v>
      </c>
      <c r="D38" s="47">
        <f>D21-D36</f>
        <v>1749818.1600000001</v>
      </c>
      <c r="E38" s="47">
        <f>E21-E36</f>
        <v>1784813.5232000016</v>
      </c>
      <c r="F38" s="47">
        <f>F21-F36</f>
        <v>1820509.7936639935</v>
      </c>
      <c r="G38" s="47">
        <f>G21-G36</f>
        <v>1856917.9895372801</v>
      </c>
      <c r="I38" s="179"/>
    </row>
    <row r="39" spans="1:9" x14ac:dyDescent="0.25">
      <c r="B39" s="2"/>
      <c r="C39" s="45"/>
      <c r="D39" s="46"/>
      <c r="E39" s="46"/>
      <c r="F39" s="46"/>
      <c r="G39" s="46"/>
    </row>
    <row r="40" spans="1:9" ht="18.75" x14ac:dyDescent="0.3">
      <c r="A40" s="1" t="s">
        <v>79</v>
      </c>
      <c r="B40" s="2"/>
      <c r="C40" s="45"/>
      <c r="D40" s="46"/>
      <c r="E40" s="46"/>
      <c r="F40" s="46"/>
      <c r="G40" s="46"/>
    </row>
    <row r="41" spans="1:9" x14ac:dyDescent="0.25">
      <c r="A41" s="2" t="s">
        <v>105</v>
      </c>
      <c r="B41" s="2"/>
      <c r="C41" s="45"/>
      <c r="D41" s="45"/>
      <c r="E41" s="45"/>
      <c r="F41" s="45"/>
      <c r="G41" s="45"/>
      <c r="I41" s="42"/>
    </row>
    <row r="42" spans="1:9" hidden="1" x14ac:dyDescent="0.25">
      <c r="B42" t="s">
        <v>74</v>
      </c>
      <c r="C42" s="45"/>
      <c r="D42" s="46"/>
      <c r="E42" s="46"/>
      <c r="F42" s="46"/>
      <c r="G42" s="46"/>
    </row>
    <row r="43" spans="1:9" hidden="1" x14ac:dyDescent="0.25">
      <c r="B43" t="s">
        <v>31</v>
      </c>
      <c r="C43" s="45"/>
      <c r="D43" s="46"/>
      <c r="E43" s="46"/>
      <c r="F43" s="46"/>
      <c r="G43" s="46"/>
    </row>
    <row r="44" spans="1:9" hidden="1" x14ac:dyDescent="0.25">
      <c r="B44" t="s">
        <v>10</v>
      </c>
      <c r="C44" s="45"/>
      <c r="D44" s="46"/>
      <c r="E44" s="46"/>
      <c r="F44" s="46"/>
      <c r="G44" s="46"/>
    </row>
    <row r="45" spans="1:9" hidden="1" x14ac:dyDescent="0.25">
      <c r="B45" t="s">
        <v>9</v>
      </c>
      <c r="C45" s="45"/>
      <c r="D45" s="46"/>
      <c r="E45" s="46"/>
      <c r="F45" s="46"/>
      <c r="G45" s="46"/>
    </row>
    <row r="46" spans="1:9" hidden="1" x14ac:dyDescent="0.25">
      <c r="B46" t="s">
        <v>32</v>
      </c>
      <c r="C46" s="45"/>
      <c r="D46" s="46"/>
      <c r="E46" s="46"/>
      <c r="F46" s="46"/>
      <c r="G46" s="46"/>
    </row>
    <row r="47" spans="1:9" hidden="1" x14ac:dyDescent="0.25">
      <c r="B47" t="s">
        <v>34</v>
      </c>
      <c r="C47" s="45"/>
      <c r="D47" s="46"/>
      <c r="E47" s="46"/>
      <c r="F47" s="46"/>
      <c r="G47" s="46"/>
    </row>
    <row r="48" spans="1:9" hidden="1" x14ac:dyDescent="0.25">
      <c r="B48" t="s">
        <v>35</v>
      </c>
      <c r="C48" s="45"/>
      <c r="D48" s="46"/>
      <c r="E48" s="46"/>
      <c r="F48" s="46"/>
      <c r="G48" s="46"/>
    </row>
    <row r="49" spans="1:9" hidden="1" x14ac:dyDescent="0.25">
      <c r="B49" t="s">
        <v>36</v>
      </c>
      <c r="C49" s="45"/>
      <c r="D49" s="46"/>
      <c r="E49" s="46"/>
      <c r="F49" s="46"/>
      <c r="G49" s="46"/>
    </row>
    <row r="50" spans="1:9" hidden="1" x14ac:dyDescent="0.25">
      <c r="B50" t="s">
        <v>33</v>
      </c>
      <c r="C50" s="45"/>
      <c r="D50" s="46"/>
      <c r="E50" s="46"/>
      <c r="F50" s="46"/>
      <c r="G50" s="46"/>
    </row>
    <row r="51" spans="1:9" hidden="1" x14ac:dyDescent="0.25">
      <c r="B51" t="s">
        <v>37</v>
      </c>
      <c r="C51" s="45"/>
      <c r="D51" s="46"/>
      <c r="E51" s="46"/>
      <c r="F51" s="46"/>
      <c r="G51" s="46"/>
    </row>
    <row r="52" spans="1:9" hidden="1" x14ac:dyDescent="0.25">
      <c r="B52" s="13" t="s">
        <v>75</v>
      </c>
      <c r="C52" s="43">
        <f>SUM(C42:C51)</f>
        <v>0</v>
      </c>
      <c r="D52" s="44">
        <f t="shared" ref="D52:G52" si="11">SUM(D42:D51)</f>
        <v>0</v>
      </c>
      <c r="E52" s="44">
        <f t="shared" si="11"/>
        <v>0</v>
      </c>
      <c r="F52" s="44">
        <f t="shared" si="11"/>
        <v>0</v>
      </c>
      <c r="G52" s="44">
        <f t="shared" si="11"/>
        <v>0</v>
      </c>
    </row>
    <row r="53" spans="1:9" x14ac:dyDescent="0.25">
      <c r="B53" s="2"/>
      <c r="C53" s="45"/>
      <c r="D53" s="46"/>
      <c r="E53" s="46"/>
      <c r="F53" s="46"/>
      <c r="G53" s="46"/>
    </row>
    <row r="54" spans="1:9" x14ac:dyDescent="0.25">
      <c r="A54" s="2" t="s">
        <v>113</v>
      </c>
      <c r="B54" s="2"/>
      <c r="C54" s="45"/>
      <c r="D54" s="46"/>
      <c r="E54" s="46"/>
      <c r="F54" s="46"/>
      <c r="G54" s="46"/>
      <c r="I54" s="42"/>
    </row>
    <row r="55" spans="1:9" hidden="1" x14ac:dyDescent="0.25">
      <c r="B55" t="s">
        <v>74</v>
      </c>
      <c r="C55" s="45"/>
      <c r="D55" s="46"/>
      <c r="E55" s="46"/>
      <c r="F55" s="46"/>
      <c r="G55" s="46"/>
    </row>
    <row r="56" spans="1:9" hidden="1" x14ac:dyDescent="0.25">
      <c r="B56" t="s">
        <v>31</v>
      </c>
      <c r="C56" s="45"/>
      <c r="D56" s="46"/>
      <c r="E56" s="46"/>
      <c r="F56" s="46"/>
      <c r="G56" s="46"/>
    </row>
    <row r="57" spans="1:9" hidden="1" x14ac:dyDescent="0.25">
      <c r="B57" t="s">
        <v>10</v>
      </c>
      <c r="C57" s="45"/>
      <c r="D57" s="46"/>
      <c r="E57" s="46"/>
      <c r="F57" s="46"/>
      <c r="G57" s="46"/>
    </row>
    <row r="58" spans="1:9" hidden="1" x14ac:dyDescent="0.25">
      <c r="B58" t="s">
        <v>9</v>
      </c>
      <c r="C58" s="45"/>
      <c r="D58" s="46"/>
      <c r="E58" s="46"/>
      <c r="F58" s="46"/>
      <c r="G58" s="46"/>
    </row>
    <row r="59" spans="1:9" hidden="1" x14ac:dyDescent="0.25">
      <c r="B59" t="s">
        <v>32</v>
      </c>
      <c r="C59" s="45"/>
      <c r="D59" s="46"/>
      <c r="E59" s="46"/>
      <c r="F59" s="46"/>
      <c r="G59" s="46"/>
    </row>
    <row r="60" spans="1:9" hidden="1" x14ac:dyDescent="0.25">
      <c r="B60" t="s">
        <v>34</v>
      </c>
      <c r="C60" s="45"/>
      <c r="D60" s="46"/>
      <c r="E60" s="46"/>
      <c r="F60" s="46"/>
      <c r="G60" s="46"/>
    </row>
    <row r="61" spans="1:9" hidden="1" x14ac:dyDescent="0.25">
      <c r="B61" t="s">
        <v>35</v>
      </c>
      <c r="C61" s="45"/>
      <c r="D61" s="46"/>
      <c r="E61" s="46"/>
      <c r="F61" s="46"/>
      <c r="G61" s="46"/>
    </row>
    <row r="62" spans="1:9" hidden="1" x14ac:dyDescent="0.25">
      <c r="B62" t="s">
        <v>36</v>
      </c>
      <c r="C62" s="45"/>
      <c r="D62" s="46"/>
      <c r="E62" s="46"/>
      <c r="F62" s="46"/>
      <c r="G62" s="46"/>
    </row>
    <row r="63" spans="1:9" hidden="1" x14ac:dyDescent="0.25">
      <c r="B63" t="s">
        <v>33</v>
      </c>
      <c r="C63" s="45"/>
      <c r="D63" s="46"/>
      <c r="E63" s="46"/>
      <c r="F63" s="46"/>
      <c r="G63" s="46"/>
    </row>
    <row r="64" spans="1:9" hidden="1" x14ac:dyDescent="0.25">
      <c r="B64" t="s">
        <v>37</v>
      </c>
      <c r="C64" s="45"/>
      <c r="D64" s="46"/>
      <c r="E64" s="46"/>
      <c r="F64" s="46"/>
      <c r="G64" s="46"/>
    </row>
    <row r="65" spans="1:8" hidden="1" x14ac:dyDescent="0.25">
      <c r="B65" s="13" t="s">
        <v>76</v>
      </c>
      <c r="C65" s="43">
        <f>SUM(C55:C64)</f>
        <v>0</v>
      </c>
      <c r="D65" s="44">
        <f t="shared" ref="D65" si="12">SUM(D55:D64)</f>
        <v>0</v>
      </c>
      <c r="E65" s="44">
        <f t="shared" ref="E65" si="13">SUM(E55:E64)</f>
        <v>0</v>
      </c>
      <c r="F65" s="44">
        <f t="shared" ref="F65" si="14">SUM(F55:F64)</f>
        <v>0</v>
      </c>
      <c r="G65" s="44">
        <f t="shared" ref="G65" si="15">SUM(G55:G64)</f>
        <v>0</v>
      </c>
    </row>
    <row r="66" spans="1:8" x14ac:dyDescent="0.25">
      <c r="B66" s="13"/>
      <c r="C66" s="42"/>
      <c r="D66" s="42"/>
      <c r="E66" s="42"/>
      <c r="F66" s="42"/>
      <c r="G66" s="42"/>
    </row>
    <row r="67" spans="1:8" x14ac:dyDescent="0.25">
      <c r="A67" s="2" t="s">
        <v>77</v>
      </c>
      <c r="B67" s="2"/>
      <c r="C67" s="42"/>
      <c r="D67" s="42"/>
      <c r="E67" s="42"/>
      <c r="F67" s="42"/>
      <c r="G67" s="42"/>
    </row>
    <row r="68" spans="1:8" x14ac:dyDescent="0.25">
      <c r="B68" t="s">
        <v>74</v>
      </c>
      <c r="C68" s="42"/>
      <c r="D68" s="42"/>
      <c r="E68" s="42"/>
      <c r="F68" s="42"/>
      <c r="G68" s="42"/>
    </row>
    <row r="69" spans="1:8" x14ac:dyDescent="0.25">
      <c r="B69" t="s">
        <v>31</v>
      </c>
      <c r="C69" s="42"/>
      <c r="D69" s="42"/>
      <c r="E69" s="42"/>
      <c r="F69" s="42"/>
      <c r="G69" s="42"/>
    </row>
    <row r="70" spans="1:8" x14ac:dyDescent="0.25">
      <c r="B70" t="s">
        <v>10</v>
      </c>
      <c r="C70" s="42">
        <v>0</v>
      </c>
      <c r="D70" s="46">
        <f>C70*(1+$C$4)</f>
        <v>0</v>
      </c>
      <c r="E70" s="46">
        <f t="shared" ref="E70:G70" si="16">D70*(1+$C$4)</f>
        <v>0</v>
      </c>
      <c r="F70" s="46">
        <f t="shared" si="16"/>
        <v>0</v>
      </c>
      <c r="G70" s="46">
        <f t="shared" si="16"/>
        <v>0</v>
      </c>
      <c r="H70" s="182"/>
    </row>
    <row r="71" spans="1:8" x14ac:dyDescent="0.25">
      <c r="B71" t="s">
        <v>9</v>
      </c>
      <c r="C71" s="42">
        <v>0</v>
      </c>
      <c r="D71" s="46">
        <f>C71*(1+$C$4)</f>
        <v>0</v>
      </c>
      <c r="E71" s="46">
        <f t="shared" ref="E71:G71" si="17">D71*(1+$C$4)</f>
        <v>0</v>
      </c>
      <c r="F71" s="46">
        <f t="shared" si="17"/>
        <v>0</v>
      </c>
      <c r="G71" s="46">
        <f t="shared" si="17"/>
        <v>0</v>
      </c>
      <c r="H71" s="182"/>
    </row>
    <row r="72" spans="1:8" x14ac:dyDescent="0.25">
      <c r="B72" t="s">
        <v>32</v>
      </c>
      <c r="C72" s="45"/>
      <c r="D72" s="46">
        <f>C72*(1+$C$4)</f>
        <v>0</v>
      </c>
      <c r="E72" s="46">
        <f t="shared" ref="E72:G72" si="18">D72*(1+$C$4)</f>
        <v>0</v>
      </c>
      <c r="F72" s="46">
        <f t="shared" si="18"/>
        <v>0</v>
      </c>
      <c r="G72" s="46">
        <f t="shared" si="18"/>
        <v>0</v>
      </c>
    </row>
    <row r="73" spans="1:8" x14ac:dyDescent="0.25">
      <c r="B73" t="s">
        <v>34</v>
      </c>
      <c r="C73" s="45"/>
      <c r="D73" s="46"/>
      <c r="E73" s="46"/>
      <c r="F73" s="46"/>
      <c r="G73" s="46"/>
    </row>
    <row r="74" spans="1:8" x14ac:dyDescent="0.25">
      <c r="B74" t="s">
        <v>35</v>
      </c>
      <c r="C74" s="45"/>
      <c r="D74" s="46"/>
      <c r="E74" s="46"/>
      <c r="F74" s="46"/>
      <c r="G74" s="46"/>
    </row>
    <row r="75" spans="1:8" x14ac:dyDescent="0.25">
      <c r="B75" t="s">
        <v>36</v>
      </c>
      <c r="C75" s="45">
        <f>-'2025-26 Annual Budget'!P44</f>
        <v>-151500</v>
      </c>
      <c r="D75" s="46">
        <f>C75*(1+$C$4)</f>
        <v>-154530</v>
      </c>
      <c r="E75" s="46">
        <f t="shared" ref="E75:G75" si="19">D75*(1+$C$4)</f>
        <v>-157620.6</v>
      </c>
      <c r="F75" s="46">
        <f>E75*(1+$C$4)+0.15</f>
        <v>-160772.86200000002</v>
      </c>
      <c r="G75" s="46">
        <f t="shared" si="19"/>
        <v>-163988.31924000001</v>
      </c>
    </row>
    <row r="76" spans="1:8" x14ac:dyDescent="0.25">
      <c r="B76" t="s">
        <v>33</v>
      </c>
      <c r="C76" s="45"/>
      <c r="D76" s="46"/>
      <c r="E76" s="46"/>
      <c r="F76" s="46"/>
      <c r="G76" s="46"/>
    </row>
    <row r="77" spans="1:8" x14ac:dyDescent="0.25">
      <c r="B77" t="s">
        <v>280</v>
      </c>
      <c r="C77" s="45"/>
      <c r="D77" s="46"/>
      <c r="E77" s="46"/>
      <c r="F77" s="46"/>
      <c r="G77" s="46"/>
    </row>
    <row r="78" spans="1:8" x14ac:dyDescent="0.25">
      <c r="B78" t="s">
        <v>37</v>
      </c>
      <c r="C78" s="45"/>
      <c r="D78" s="46">
        <f>C78*(1+$C$4)</f>
        <v>0</v>
      </c>
      <c r="E78" s="46">
        <f t="shared" ref="E78:G78" si="20">D78*(1+$C$4)</f>
        <v>0</v>
      </c>
      <c r="F78" s="46">
        <f t="shared" si="20"/>
        <v>0</v>
      </c>
      <c r="G78" s="46">
        <f t="shared" si="20"/>
        <v>0</v>
      </c>
    </row>
    <row r="79" spans="1:8" x14ac:dyDescent="0.25">
      <c r="B79" s="13" t="s">
        <v>78</v>
      </c>
      <c r="C79" s="43">
        <f>SUM(C68:C78)</f>
        <v>-151500</v>
      </c>
      <c r="D79" s="44">
        <f t="shared" ref="D79" si="21">SUM(D68:D78)</f>
        <v>-154530</v>
      </c>
      <c r="E79" s="44">
        <f t="shared" ref="E79" si="22">SUM(E68:E78)</f>
        <v>-157620.6</v>
      </c>
      <c r="F79" s="44">
        <f t="shared" ref="F79" si="23">SUM(F68:F78)</f>
        <v>-160772.86200000002</v>
      </c>
      <c r="G79" s="44">
        <f t="shared" ref="G79" si="24">SUM(G68:G78)</f>
        <v>-163988.31924000001</v>
      </c>
    </row>
    <row r="80" spans="1:8" x14ac:dyDescent="0.25">
      <c r="B80" s="13"/>
      <c r="C80" s="42"/>
      <c r="D80" s="42"/>
      <c r="E80" s="42"/>
      <c r="F80" s="42"/>
      <c r="G80" s="42"/>
    </row>
    <row r="81" spans="1:9" x14ac:dyDescent="0.25">
      <c r="B81" s="13" t="s">
        <v>23</v>
      </c>
      <c r="C81" s="48">
        <f>C79+C65+C52</f>
        <v>-151500</v>
      </c>
      <c r="D81" s="48">
        <f t="shared" ref="D81:G81" si="25">D79+D65+D52</f>
        <v>-154530</v>
      </c>
      <c r="E81" s="48">
        <f t="shared" si="25"/>
        <v>-157620.6</v>
      </c>
      <c r="F81" s="48">
        <f t="shared" si="25"/>
        <v>-160772.86200000002</v>
      </c>
      <c r="G81" s="48">
        <f t="shared" si="25"/>
        <v>-163988.31924000001</v>
      </c>
    </row>
    <row r="82" spans="1:9" x14ac:dyDescent="0.25">
      <c r="C82" s="42"/>
      <c r="D82" s="42"/>
      <c r="E82" s="42"/>
      <c r="F82" s="42"/>
      <c r="G82" s="42"/>
    </row>
    <row r="83" spans="1:9" x14ac:dyDescent="0.25">
      <c r="A83" s="2" t="s">
        <v>80</v>
      </c>
      <c r="C83" s="49"/>
      <c r="D83" s="50"/>
      <c r="E83" s="50"/>
      <c r="F83" s="50"/>
      <c r="G83" s="50"/>
    </row>
    <row r="84" spans="1:9" hidden="1" x14ac:dyDescent="0.25">
      <c r="A84" s="2"/>
      <c r="B84" t="s">
        <v>74</v>
      </c>
      <c r="C84" s="49">
        <f>-'2025-26 Annual Budget'!D86</f>
        <v>0</v>
      </c>
      <c r="D84" s="42">
        <f t="shared" ref="D84:D93" si="26">C84*(1+$C$4)</f>
        <v>0</v>
      </c>
      <c r="E84" s="42">
        <f t="shared" ref="E84:E93" si="27">D84*(1+$C$4)</f>
        <v>0</v>
      </c>
      <c r="F84" s="42">
        <f t="shared" ref="F84:F93" si="28">E84*(1+$C$4)</f>
        <v>0</v>
      </c>
      <c r="G84" s="42">
        <f t="shared" ref="G84:G93" si="29">F84*(1+$C$4)</f>
        <v>0</v>
      </c>
    </row>
    <row r="85" spans="1:9" hidden="1" x14ac:dyDescent="0.25">
      <c r="A85" s="2"/>
      <c r="B85" t="s">
        <v>31</v>
      </c>
      <c r="C85" s="49">
        <f>-'2025-26 Annual Budget'!E86</f>
        <v>0</v>
      </c>
      <c r="D85" s="42">
        <f t="shared" si="26"/>
        <v>0</v>
      </c>
      <c r="E85" s="42">
        <f t="shared" si="27"/>
        <v>0</v>
      </c>
      <c r="F85" s="42">
        <f t="shared" si="28"/>
        <v>0</v>
      </c>
      <c r="G85" s="42">
        <f t="shared" si="29"/>
        <v>0</v>
      </c>
    </row>
    <row r="86" spans="1:9" hidden="1" x14ac:dyDescent="0.25">
      <c r="A86" s="2"/>
      <c r="B86" t="s">
        <v>10</v>
      </c>
      <c r="C86" s="49">
        <f>-'2025-26 Annual Budget'!F86</f>
        <v>0</v>
      </c>
      <c r="D86" s="42">
        <f t="shared" si="26"/>
        <v>0</v>
      </c>
      <c r="E86" s="42">
        <f t="shared" si="27"/>
        <v>0</v>
      </c>
      <c r="F86" s="42">
        <f t="shared" si="28"/>
        <v>0</v>
      </c>
      <c r="G86" s="42">
        <f t="shared" si="29"/>
        <v>0</v>
      </c>
    </row>
    <row r="87" spans="1:9" x14ac:dyDescent="0.25">
      <c r="A87" s="2"/>
      <c r="B87" t="s">
        <v>9</v>
      </c>
      <c r="C87" s="49">
        <f>-'2025-26 Annual Budget'!G86</f>
        <v>0</v>
      </c>
      <c r="D87" s="42">
        <f t="shared" si="26"/>
        <v>0</v>
      </c>
      <c r="E87" s="42">
        <f t="shared" si="27"/>
        <v>0</v>
      </c>
      <c r="F87" s="42">
        <f t="shared" si="28"/>
        <v>0</v>
      </c>
      <c r="G87" s="42">
        <f t="shared" si="29"/>
        <v>0</v>
      </c>
    </row>
    <row r="88" spans="1:9" x14ac:dyDescent="0.25">
      <c r="A88" s="2"/>
      <c r="B88" t="s">
        <v>32</v>
      </c>
      <c r="C88" s="49">
        <f>-'2025-26 Annual Budget'!H86</f>
        <v>0</v>
      </c>
      <c r="D88" s="42">
        <f t="shared" si="26"/>
        <v>0</v>
      </c>
      <c r="E88" s="42">
        <f t="shared" si="27"/>
        <v>0</v>
      </c>
      <c r="F88" s="42">
        <f t="shared" si="28"/>
        <v>0</v>
      </c>
      <c r="G88" s="42">
        <f t="shared" si="29"/>
        <v>0</v>
      </c>
    </row>
    <row r="89" spans="1:9" hidden="1" x14ac:dyDescent="0.25">
      <c r="A89" s="2"/>
      <c r="B89" t="s">
        <v>34</v>
      </c>
      <c r="C89" s="49">
        <f>-'2025-26 Annual Budget'!I86</f>
        <v>0</v>
      </c>
      <c r="D89" s="42">
        <f t="shared" si="26"/>
        <v>0</v>
      </c>
      <c r="E89" s="42">
        <f t="shared" si="27"/>
        <v>0</v>
      </c>
      <c r="F89" s="42">
        <f t="shared" si="28"/>
        <v>0</v>
      </c>
      <c r="G89" s="42">
        <f t="shared" si="29"/>
        <v>0</v>
      </c>
    </row>
    <row r="90" spans="1:9" hidden="1" x14ac:dyDescent="0.25">
      <c r="A90" s="2"/>
      <c r="B90" t="s">
        <v>35</v>
      </c>
      <c r="C90" s="49">
        <f>-'2025-26 Annual Budget'!J86</f>
        <v>0</v>
      </c>
      <c r="D90" s="42">
        <f t="shared" si="26"/>
        <v>0</v>
      </c>
      <c r="E90" s="42">
        <f t="shared" si="27"/>
        <v>0</v>
      </c>
      <c r="F90" s="42">
        <f t="shared" si="28"/>
        <v>0</v>
      </c>
      <c r="G90" s="42">
        <f t="shared" si="29"/>
        <v>0</v>
      </c>
    </row>
    <row r="91" spans="1:9" x14ac:dyDescent="0.25">
      <c r="A91" s="2"/>
      <c r="B91" t="s">
        <v>36</v>
      </c>
      <c r="C91" s="49">
        <f>-'2025-26 Annual Budget'!K86</f>
        <v>-25000</v>
      </c>
      <c r="D91" s="42">
        <f t="shared" si="26"/>
        <v>-25500</v>
      </c>
      <c r="E91" s="42">
        <f t="shared" si="27"/>
        <v>-26010</v>
      </c>
      <c r="F91" s="42">
        <f t="shared" si="28"/>
        <v>-26530.2</v>
      </c>
      <c r="G91" s="42">
        <f t="shared" si="29"/>
        <v>-27060.804</v>
      </c>
    </row>
    <row r="92" spans="1:9" hidden="1" x14ac:dyDescent="0.25">
      <c r="A92" s="2"/>
      <c r="B92" t="s">
        <v>33</v>
      </c>
      <c r="C92" s="49">
        <f>-'2025-26 Annual Budget'!L86</f>
        <v>0</v>
      </c>
      <c r="D92" s="42">
        <f t="shared" si="26"/>
        <v>0</v>
      </c>
      <c r="E92" s="42">
        <f t="shared" si="27"/>
        <v>0</v>
      </c>
      <c r="F92" s="42">
        <f t="shared" si="28"/>
        <v>0</v>
      </c>
      <c r="G92" s="42">
        <f t="shared" si="29"/>
        <v>0</v>
      </c>
    </row>
    <row r="93" spans="1:9" hidden="1" x14ac:dyDescent="0.25">
      <c r="A93" s="2"/>
      <c r="B93" t="s">
        <v>37</v>
      </c>
      <c r="C93" s="49">
        <f>-'2025-26 Annual Budget'!O86</f>
        <v>0</v>
      </c>
      <c r="D93" s="42">
        <f t="shared" si="26"/>
        <v>0</v>
      </c>
      <c r="E93" s="42">
        <f t="shared" si="27"/>
        <v>0</v>
      </c>
      <c r="F93" s="42">
        <f t="shared" si="28"/>
        <v>0</v>
      </c>
      <c r="G93" s="42">
        <f t="shared" si="29"/>
        <v>0</v>
      </c>
    </row>
    <row r="94" spans="1:9" x14ac:dyDescent="0.25">
      <c r="A94" s="2"/>
      <c r="B94" s="2" t="s">
        <v>81</v>
      </c>
      <c r="C94" s="43">
        <f>SUM(C84:C93)</f>
        <v>-25000</v>
      </c>
      <c r="D94" s="44">
        <f t="shared" ref="D94" si="30">SUM(D84:D93)</f>
        <v>-25500</v>
      </c>
      <c r="E94" s="44">
        <f t="shared" ref="E94" si="31">SUM(E84:E93)</f>
        <v>-26010</v>
      </c>
      <c r="F94" s="44">
        <f t="shared" ref="F94" si="32">SUM(F84:F93)</f>
        <v>-26530.2</v>
      </c>
      <c r="G94" s="44">
        <f t="shared" ref="G94" si="33">SUM(G84:G93)</f>
        <v>-27060.804</v>
      </c>
    </row>
    <row r="95" spans="1:9" x14ac:dyDescent="0.25">
      <c r="A95" s="2"/>
      <c r="C95" s="49"/>
      <c r="D95" s="50"/>
      <c r="E95" s="50"/>
      <c r="F95" s="50"/>
      <c r="G95" s="50"/>
    </row>
    <row r="96" spans="1:9" x14ac:dyDescent="0.25">
      <c r="A96" s="2" t="s">
        <v>332</v>
      </c>
      <c r="C96" s="49">
        <f>'5 YR FP - NATURE'!C92</f>
        <v>-204859</v>
      </c>
      <c r="D96" s="49">
        <f>'5 YR FP - NATURE'!D92</f>
        <v>-208956.18</v>
      </c>
      <c r="E96" s="49">
        <f>'5 YR FP - NATURE'!E92</f>
        <v>-213135.30359999998</v>
      </c>
      <c r="F96" s="49">
        <f>'5 YR FP - NATURE'!F92</f>
        <v>-217398.00967199999</v>
      </c>
      <c r="G96" s="49">
        <f>'5 YR FP - NATURE'!G92</f>
        <v>-221745.96986543998</v>
      </c>
      <c r="I96" s="42"/>
    </row>
    <row r="97" spans="1:9" x14ac:dyDescent="0.25">
      <c r="C97" s="42"/>
      <c r="D97" s="42"/>
      <c r="E97" s="42"/>
      <c r="F97" s="42"/>
      <c r="G97" s="42"/>
    </row>
    <row r="98" spans="1:9" ht="19.5" thickBot="1" x14ac:dyDescent="0.35">
      <c r="A98" s="1" t="s">
        <v>110</v>
      </c>
      <c r="B98" s="89"/>
      <c r="C98" s="90">
        <f>C38+C81+C94+C96</f>
        <v>1334149</v>
      </c>
      <c r="D98" s="90">
        <f t="shared" ref="D98:G98" si="34">D38+D81+D94+D96</f>
        <v>1360831.9800000002</v>
      </c>
      <c r="E98" s="90">
        <f t="shared" si="34"/>
        <v>1388047.6196000015</v>
      </c>
      <c r="F98" s="90">
        <f t="shared" si="34"/>
        <v>1415808.7219919935</v>
      </c>
      <c r="G98" s="90">
        <f t="shared" si="34"/>
        <v>1444122.89643184</v>
      </c>
    </row>
    <row r="99" spans="1:9" ht="15.75" thickTop="1" x14ac:dyDescent="0.25">
      <c r="A99" s="2"/>
      <c r="C99" s="78"/>
      <c r="D99" s="78"/>
      <c r="E99" s="78"/>
      <c r="F99" s="78"/>
      <c r="G99" s="78"/>
    </row>
    <row r="100" spans="1:9" x14ac:dyDescent="0.25">
      <c r="A100" s="2" t="s">
        <v>101</v>
      </c>
      <c r="C100" s="42"/>
      <c r="D100" s="42"/>
      <c r="E100" s="42"/>
      <c r="F100" s="42"/>
      <c r="G100" s="42"/>
    </row>
    <row r="101" spans="1:9" x14ac:dyDescent="0.25">
      <c r="B101" t="s">
        <v>71</v>
      </c>
      <c r="C101" s="42">
        <f>'5 YR FP - NATURE'!C97</f>
        <v>20098535</v>
      </c>
      <c r="D101" s="42">
        <f>C103</f>
        <v>21432684</v>
      </c>
      <c r="E101" s="42">
        <f t="shared" ref="E101:G101" si="35">D103</f>
        <v>22793515.98</v>
      </c>
      <c r="F101" s="42">
        <f t="shared" si="35"/>
        <v>24181563.599600002</v>
      </c>
      <c r="G101" s="42">
        <f t="shared" si="35"/>
        <v>25597372.321591996</v>
      </c>
    </row>
    <row r="102" spans="1:9" x14ac:dyDescent="0.25">
      <c r="B102" t="s">
        <v>72</v>
      </c>
      <c r="C102" s="42">
        <f>C98</f>
        <v>1334149</v>
      </c>
      <c r="D102" s="42">
        <f t="shared" ref="D102:G102" si="36">D98</f>
        <v>1360831.9800000002</v>
      </c>
      <c r="E102" s="42">
        <f t="shared" si="36"/>
        <v>1388047.6196000015</v>
      </c>
      <c r="F102" s="42">
        <f t="shared" si="36"/>
        <v>1415808.7219919935</v>
      </c>
      <c r="G102" s="42">
        <f t="shared" si="36"/>
        <v>1444122.89643184</v>
      </c>
    </row>
    <row r="103" spans="1:9" ht="15.75" thickBot="1" x14ac:dyDescent="0.3">
      <c r="B103" t="s">
        <v>73</v>
      </c>
      <c r="C103" s="77">
        <f>C101+C102</f>
        <v>21432684</v>
      </c>
      <c r="D103" s="77">
        <f t="shared" ref="D103:G103" si="37">D101+D102</f>
        <v>22793515.98</v>
      </c>
      <c r="E103" s="77">
        <f t="shared" si="37"/>
        <v>24181563.599600002</v>
      </c>
      <c r="F103" s="77">
        <f t="shared" si="37"/>
        <v>25597372.321591996</v>
      </c>
      <c r="G103" s="77">
        <f t="shared" si="37"/>
        <v>27041495.218023837</v>
      </c>
    </row>
    <row r="104" spans="1:9" ht="15.75" thickTop="1" x14ac:dyDescent="0.25"/>
    <row r="107" spans="1:9" ht="18.75" x14ac:dyDescent="0.3">
      <c r="A107" s="39" t="s">
        <v>85</v>
      </c>
      <c r="B107" s="40"/>
      <c r="C107" s="41"/>
      <c r="D107" s="41"/>
      <c r="E107" s="41"/>
      <c r="F107" s="41"/>
      <c r="G107" s="41"/>
    </row>
    <row r="108" spans="1:9" x14ac:dyDescent="0.25">
      <c r="A108" s="38"/>
      <c r="B108" s="2" t="s">
        <v>84</v>
      </c>
      <c r="C108" s="188">
        <f>C9-C24+C42+C55+C68+C84+C96</f>
        <v>777164</v>
      </c>
      <c r="D108" s="188">
        <f t="shared" ref="D108:G108" si="38">D9-D24+D42+D55+D68+D84+D96</f>
        <v>792707.28</v>
      </c>
      <c r="E108" s="188">
        <f t="shared" si="38"/>
        <v>808561.42559999996</v>
      </c>
      <c r="F108" s="188">
        <f t="shared" si="38"/>
        <v>824732.65411199967</v>
      </c>
      <c r="G108" s="188">
        <f t="shared" si="38"/>
        <v>841227.30719423993</v>
      </c>
    </row>
    <row r="109" spans="1:9" x14ac:dyDescent="0.25">
      <c r="A109" s="38"/>
      <c r="B109" t="s">
        <v>82</v>
      </c>
      <c r="C109" s="188">
        <f>'2025-26 Annual Budget'!D99</f>
        <v>-2859</v>
      </c>
      <c r="D109" s="188"/>
      <c r="E109" s="188"/>
      <c r="F109" s="188"/>
      <c r="G109" s="188"/>
    </row>
    <row r="110" spans="1:9" x14ac:dyDescent="0.25">
      <c r="A110" s="38"/>
      <c r="B110" t="s">
        <v>83</v>
      </c>
      <c r="C110" s="189">
        <f>C109+C108</f>
        <v>774305</v>
      </c>
      <c r="D110" s="189">
        <f t="shared" ref="D110:G110" si="39">D109+D108</f>
        <v>792707.28</v>
      </c>
      <c r="E110" s="189">
        <f t="shared" si="39"/>
        <v>808561.42559999996</v>
      </c>
      <c r="F110" s="189">
        <f t="shared" si="39"/>
        <v>824732.65411199967</v>
      </c>
      <c r="G110" s="189">
        <f t="shared" si="39"/>
        <v>841227.30719423993</v>
      </c>
      <c r="I110" s="42"/>
    </row>
    <row r="111" spans="1:9" x14ac:dyDescent="0.25">
      <c r="A111" s="38"/>
      <c r="C111" s="42"/>
      <c r="D111" s="42"/>
      <c r="E111" s="42"/>
      <c r="F111" s="42"/>
      <c r="G111" s="42"/>
    </row>
    <row r="112" spans="1:9" x14ac:dyDescent="0.25">
      <c r="A112" s="38"/>
      <c r="B112" s="2" t="s">
        <v>31</v>
      </c>
      <c r="C112" s="188">
        <f>C10-C25+C43+C56+C69+C85</f>
        <v>0</v>
      </c>
      <c r="D112" s="188">
        <f>D10-D25+D43+D56+D69+D85</f>
        <v>0</v>
      </c>
      <c r="E112" s="188">
        <f>E10-E25+E43+E56+E69+E85</f>
        <v>0</v>
      </c>
      <c r="F112" s="188">
        <f>F10-F25+F43+F56+F69+F85</f>
        <v>0</v>
      </c>
      <c r="G112" s="188">
        <f>G10-G25+G43+G56+G69+G85</f>
        <v>0</v>
      </c>
    </row>
    <row r="113" spans="1:7" x14ac:dyDescent="0.25">
      <c r="A113" s="38"/>
      <c r="B113" t="s">
        <v>82</v>
      </c>
      <c r="C113" s="188"/>
      <c r="D113" s="188"/>
      <c r="E113" s="188"/>
      <c r="F113" s="188"/>
      <c r="G113" s="188"/>
    </row>
    <row r="114" spans="1:7" x14ac:dyDescent="0.25">
      <c r="A114" s="38"/>
      <c r="B114" t="s">
        <v>83</v>
      </c>
      <c r="C114" s="189">
        <f>C113+C112</f>
        <v>0</v>
      </c>
      <c r="D114" s="189">
        <f t="shared" ref="D114" si="40">D113+D112</f>
        <v>0</v>
      </c>
      <c r="E114" s="189">
        <f t="shared" ref="E114" si="41">E113+E112</f>
        <v>0</v>
      </c>
      <c r="F114" s="189">
        <f t="shared" ref="F114" si="42">F113+F112</f>
        <v>0</v>
      </c>
      <c r="G114" s="189">
        <f t="shared" ref="G114" si="43">G113+G112</f>
        <v>0</v>
      </c>
    </row>
    <row r="115" spans="1:7" x14ac:dyDescent="0.25">
      <c r="A115" s="38"/>
      <c r="C115" s="42"/>
      <c r="D115" s="42"/>
      <c r="E115" s="42"/>
      <c r="F115" s="42"/>
      <c r="G115" s="42"/>
    </row>
    <row r="116" spans="1:7" x14ac:dyDescent="0.25">
      <c r="A116" s="38"/>
      <c r="B116" s="2" t="s">
        <v>10</v>
      </c>
      <c r="C116" s="188">
        <f>C11-C26+C44+C57+C70+C86</f>
        <v>-792876</v>
      </c>
      <c r="D116" s="188">
        <f>D11-D26+D44+D57+D70+D86</f>
        <v>-808733.52000000142</v>
      </c>
      <c r="E116" s="188">
        <f>E11-E26+E44+E57+E70+E86</f>
        <v>-824908.19040000252</v>
      </c>
      <c r="F116" s="188">
        <f>F11-F26+F44+F57+F70+F86</f>
        <v>-841406.35420800187</v>
      </c>
      <c r="G116" s="188">
        <f>G11-G26+G44+G57+G70+G86</f>
        <v>-858235.48129216209</v>
      </c>
    </row>
    <row r="117" spans="1:7" x14ac:dyDescent="0.25">
      <c r="A117" s="38"/>
      <c r="B117" t="s">
        <v>82</v>
      </c>
      <c r="C117" s="188">
        <f>-'2025-26 Annual Budget'!F99</f>
        <v>0</v>
      </c>
      <c r="D117" s="188">
        <v>0</v>
      </c>
      <c r="E117" s="188">
        <v>0</v>
      </c>
      <c r="F117" s="188">
        <v>0</v>
      </c>
      <c r="G117" s="188">
        <v>0</v>
      </c>
    </row>
    <row r="118" spans="1:7" x14ac:dyDescent="0.25">
      <c r="A118" s="38"/>
      <c r="B118" t="s">
        <v>83</v>
      </c>
      <c r="C118" s="189">
        <f>C117+C116</f>
        <v>-792876</v>
      </c>
      <c r="D118" s="189">
        <f t="shared" ref="D118" si="44">D117+D116</f>
        <v>-808733.52000000142</v>
      </c>
      <c r="E118" s="189">
        <f t="shared" ref="E118" si="45">E117+E116</f>
        <v>-824908.19040000252</v>
      </c>
      <c r="F118" s="189">
        <f t="shared" ref="F118" si="46">F117+F116</f>
        <v>-841406.35420800187</v>
      </c>
      <c r="G118" s="189">
        <f t="shared" ref="G118" si="47">G117+G116</f>
        <v>-858235.48129216209</v>
      </c>
    </row>
    <row r="119" spans="1:7" x14ac:dyDescent="0.25">
      <c r="A119" s="38"/>
      <c r="C119" s="42"/>
      <c r="D119" s="42"/>
      <c r="E119" s="42"/>
      <c r="F119" s="42"/>
      <c r="G119" s="42"/>
    </row>
    <row r="120" spans="1:7" x14ac:dyDescent="0.25">
      <c r="A120" s="38"/>
      <c r="B120" s="2" t="s">
        <v>9</v>
      </c>
      <c r="C120" s="188">
        <f>C12-C27+C45+C58+C71+C87</f>
        <v>301342</v>
      </c>
      <c r="D120" s="188">
        <f>D12-D27+D45+D58+D71+D87</f>
        <v>307368.83999999985</v>
      </c>
      <c r="E120" s="188">
        <f>E12-E27+E45+E58+E71+E87</f>
        <v>313516.21679999959</v>
      </c>
      <c r="F120" s="188">
        <f>F12-F27+F45+F58+F71+F87</f>
        <v>319786.54113599937</v>
      </c>
      <c r="G120" s="188">
        <f>G12-G27+G45+G58+G71+G87</f>
        <v>326182.27195871901</v>
      </c>
    </row>
    <row r="121" spans="1:7" x14ac:dyDescent="0.25">
      <c r="A121" s="38"/>
      <c r="B121" t="s">
        <v>82</v>
      </c>
      <c r="C121" s="188">
        <f>'2025-26 Annual Budget'!G99</f>
        <v>0</v>
      </c>
      <c r="D121" s="188">
        <v>0</v>
      </c>
      <c r="E121" s="188">
        <v>0</v>
      </c>
      <c r="F121" s="188">
        <v>0</v>
      </c>
      <c r="G121" s="188">
        <v>0</v>
      </c>
    </row>
    <row r="122" spans="1:7" x14ac:dyDescent="0.25">
      <c r="A122" s="38"/>
      <c r="B122" t="s">
        <v>83</v>
      </c>
      <c r="C122" s="189">
        <f>C121+C120</f>
        <v>301342</v>
      </c>
      <c r="D122" s="189">
        <f t="shared" ref="D122" si="48">D121+D120</f>
        <v>307368.83999999985</v>
      </c>
      <c r="E122" s="189">
        <f t="shared" ref="E122" si="49">E121+E120</f>
        <v>313516.21679999959</v>
      </c>
      <c r="F122" s="189">
        <f t="shared" ref="F122" si="50">F121+F120</f>
        <v>319786.54113599937</v>
      </c>
      <c r="G122" s="189">
        <f t="shared" ref="G122" si="51">G121+G120</f>
        <v>326182.27195871901</v>
      </c>
    </row>
    <row r="123" spans="1:7" x14ac:dyDescent="0.25">
      <c r="A123" s="38"/>
      <c r="C123" s="42"/>
      <c r="D123" s="42"/>
      <c r="E123" s="42"/>
      <c r="F123" s="42"/>
      <c r="G123" s="42"/>
    </row>
    <row r="124" spans="1:7" x14ac:dyDescent="0.25">
      <c r="A124" s="38"/>
      <c r="B124" s="2" t="s">
        <v>32</v>
      </c>
      <c r="C124" s="188">
        <f>C13-C28+C46+C59+C72+C88</f>
        <v>868873</v>
      </c>
      <c r="D124" s="188">
        <f>D13-D28+D46+D59+D72+D88</f>
        <v>886250.4600000002</v>
      </c>
      <c r="E124" s="188">
        <f>E13-E28+E46+E59+E72+E88</f>
        <v>903975.46920000017</v>
      </c>
      <c r="F124" s="188">
        <f>F13-F28+F46+F59+F72+F88</f>
        <v>922054.97858399991</v>
      </c>
      <c r="G124" s="188">
        <f>G13-G28+G46+G59+G72+G88</f>
        <v>940495.07815567986</v>
      </c>
    </row>
    <row r="125" spans="1:7" x14ac:dyDescent="0.25">
      <c r="A125" s="38"/>
      <c r="B125" t="s">
        <v>82</v>
      </c>
      <c r="C125" s="188">
        <f>'2025-26 Annual Budget'!H99</f>
        <v>-277000</v>
      </c>
      <c r="D125" s="188">
        <f>C125</f>
        <v>-277000</v>
      </c>
      <c r="E125" s="188">
        <f t="shared" ref="E125:G125" si="52">D125</f>
        <v>-277000</v>
      </c>
      <c r="F125" s="188">
        <f t="shared" si="52"/>
        <v>-277000</v>
      </c>
      <c r="G125" s="188">
        <f t="shared" si="52"/>
        <v>-277000</v>
      </c>
    </row>
    <row r="126" spans="1:7" x14ac:dyDescent="0.25">
      <c r="A126" s="38"/>
      <c r="B126" t="s">
        <v>83</v>
      </c>
      <c r="C126" s="189">
        <f>C125+C124</f>
        <v>591873</v>
      </c>
      <c r="D126" s="189">
        <f t="shared" ref="D126" si="53">D125+D124</f>
        <v>609250.4600000002</v>
      </c>
      <c r="E126" s="189">
        <f t="shared" ref="E126" si="54">E125+E124</f>
        <v>626975.46920000017</v>
      </c>
      <c r="F126" s="189">
        <f t="shared" ref="F126" si="55">F125+F124</f>
        <v>645054.97858399991</v>
      </c>
      <c r="G126" s="189">
        <f t="shared" ref="G126" si="56">G125+G124</f>
        <v>663495.07815567986</v>
      </c>
    </row>
    <row r="127" spans="1:7" x14ac:dyDescent="0.25">
      <c r="A127" s="38"/>
      <c r="C127" s="42"/>
      <c r="D127" s="42"/>
      <c r="E127" s="42"/>
      <c r="F127" s="42"/>
      <c r="G127" s="42"/>
    </row>
    <row r="128" spans="1:7" x14ac:dyDescent="0.25">
      <c r="A128" s="38"/>
      <c r="B128" s="2" t="s">
        <v>34</v>
      </c>
      <c r="C128" s="188">
        <f>C14-C29+C47+C60+C73+C89</f>
        <v>-258098</v>
      </c>
      <c r="D128" s="188">
        <f>D14-D29+D47+D60+D73+D89</f>
        <v>-263259.96000000002</v>
      </c>
      <c r="E128" s="188">
        <f>E14-E29+E47+E60+E73+E89</f>
        <v>-268525.15919999999</v>
      </c>
      <c r="F128" s="188">
        <f>F14-F29+F47+F60+F73+F89</f>
        <v>-273895.66238400002</v>
      </c>
      <c r="G128" s="188">
        <f>G14-G29+G47+G60+G73+G89</f>
        <v>-279373.57563168003</v>
      </c>
    </row>
    <row r="129" spans="1:7" x14ac:dyDescent="0.25">
      <c r="A129" s="38"/>
      <c r="B129" t="s">
        <v>82</v>
      </c>
      <c r="C129" s="188">
        <f>-'2025-26 Annual Budget'!I99</f>
        <v>0</v>
      </c>
      <c r="D129" s="188">
        <f>C129</f>
        <v>0</v>
      </c>
      <c r="E129" s="188">
        <f t="shared" ref="E129:G129" si="57">D129</f>
        <v>0</v>
      </c>
      <c r="F129" s="188">
        <f t="shared" si="57"/>
        <v>0</v>
      </c>
      <c r="G129" s="188">
        <f t="shared" si="57"/>
        <v>0</v>
      </c>
    </row>
    <row r="130" spans="1:7" x14ac:dyDescent="0.25">
      <c r="A130" s="38"/>
      <c r="B130" t="s">
        <v>83</v>
      </c>
      <c r="C130" s="189">
        <f>C129+C128</f>
        <v>-258098</v>
      </c>
      <c r="D130" s="189">
        <f t="shared" ref="D130" si="58">D129+D128</f>
        <v>-263259.96000000002</v>
      </c>
      <c r="E130" s="189">
        <f t="shared" ref="E130" si="59">E129+E128</f>
        <v>-268525.15919999999</v>
      </c>
      <c r="F130" s="189">
        <f t="shared" ref="F130" si="60">F129+F128</f>
        <v>-273895.66238400002</v>
      </c>
      <c r="G130" s="189">
        <f t="shared" ref="G130" si="61">G129+G128</f>
        <v>-279373.57563168003</v>
      </c>
    </row>
    <row r="131" spans="1:7" x14ac:dyDescent="0.25">
      <c r="A131" s="38"/>
      <c r="C131" s="42"/>
      <c r="D131" s="42"/>
      <c r="E131" s="42"/>
      <c r="F131" s="42"/>
      <c r="G131" s="42"/>
    </row>
    <row r="132" spans="1:7" x14ac:dyDescent="0.25">
      <c r="A132" s="38"/>
      <c r="B132" s="2" t="s">
        <v>35</v>
      </c>
      <c r="C132" s="188">
        <f>C15-C30+C48+C61+C74+C90</f>
        <v>181144</v>
      </c>
      <c r="D132" s="188">
        <f>D15-D30+D48+D61+D74+D90</f>
        <v>184766.88000000012</v>
      </c>
      <c r="E132" s="188">
        <f>E15-E30+E48+E61+E74+E90</f>
        <v>188462.21760000032</v>
      </c>
      <c r="F132" s="188">
        <f>F15-F30+F48+F61+F74+F90</f>
        <v>192231.46195200039</v>
      </c>
      <c r="G132" s="188">
        <f>G15-G30+G48+G61+G74+G90</f>
        <v>196076.09119104058</v>
      </c>
    </row>
    <row r="133" spans="1:7" x14ac:dyDescent="0.25">
      <c r="A133" s="38"/>
      <c r="B133" t="s">
        <v>82</v>
      </c>
      <c r="C133" s="188">
        <f>-'2025-26 Annual Budget'!J99</f>
        <v>0</v>
      </c>
      <c r="D133" s="188">
        <v>0</v>
      </c>
      <c r="E133" s="188">
        <v>0</v>
      </c>
      <c r="F133" s="188">
        <v>0</v>
      </c>
      <c r="G133" s="188">
        <v>0</v>
      </c>
    </row>
    <row r="134" spans="1:7" x14ac:dyDescent="0.25">
      <c r="A134" s="38"/>
      <c r="B134" t="s">
        <v>83</v>
      </c>
      <c r="C134" s="189">
        <f>C133+C132</f>
        <v>181144</v>
      </c>
      <c r="D134" s="189">
        <f t="shared" ref="D134" si="62">D133+D132</f>
        <v>184766.88000000012</v>
      </c>
      <c r="E134" s="189">
        <f t="shared" ref="E134" si="63">E133+E132</f>
        <v>188462.21760000032</v>
      </c>
      <c r="F134" s="189">
        <f t="shared" ref="F134" si="64">F133+F132</f>
        <v>192231.46195200039</v>
      </c>
      <c r="G134" s="189">
        <f t="shared" ref="G134" si="65">G133+G132</f>
        <v>196076.09119104058</v>
      </c>
    </row>
    <row r="135" spans="1:7" x14ac:dyDescent="0.25">
      <c r="A135" s="38"/>
      <c r="C135" s="42"/>
      <c r="D135" s="42"/>
      <c r="E135" s="42"/>
      <c r="F135" s="42"/>
      <c r="G135" s="42"/>
    </row>
    <row r="136" spans="1:7" x14ac:dyDescent="0.25">
      <c r="A136" s="38"/>
      <c r="B136" s="2" t="s">
        <v>36</v>
      </c>
      <c r="C136" s="188">
        <f>C16-C31+C49+C62+C75+C91</f>
        <v>-134987</v>
      </c>
      <c r="D136" s="188">
        <f>D16-D31+D49+D62+D75+D91</f>
        <v>-137686.74</v>
      </c>
      <c r="E136" s="188">
        <f>E16-E31+E49+E62+E75+E91</f>
        <v>-140440.4748</v>
      </c>
      <c r="F136" s="188">
        <f>F16-F31+F49+F62+F75+F91</f>
        <v>-143249.13429600006</v>
      </c>
      <c r="G136" s="188">
        <f>G16-G31+G49+G62+G75+G91</f>
        <v>-146114.11698192</v>
      </c>
    </row>
    <row r="137" spans="1:7" x14ac:dyDescent="0.25">
      <c r="A137" s="38"/>
      <c r="B137" t="s">
        <v>82</v>
      </c>
      <c r="C137" s="188">
        <f>'2025-26 Annual Budget'!K99</f>
        <v>75000</v>
      </c>
      <c r="D137" s="188">
        <f>C137</f>
        <v>75000</v>
      </c>
      <c r="E137" s="188">
        <f>D137</f>
        <v>75000</v>
      </c>
      <c r="F137" s="188">
        <f>E137</f>
        <v>75000</v>
      </c>
      <c r="G137" s="188">
        <f>F137</f>
        <v>75000</v>
      </c>
    </row>
    <row r="138" spans="1:7" x14ac:dyDescent="0.25">
      <c r="A138" s="38"/>
      <c r="B138" t="s">
        <v>83</v>
      </c>
      <c r="C138" s="189">
        <f>C137+C136</f>
        <v>-59987</v>
      </c>
      <c r="D138" s="189">
        <f t="shared" ref="D138" si="66">D137+D136</f>
        <v>-62686.739999999991</v>
      </c>
      <c r="E138" s="189">
        <f t="shared" ref="E138" si="67">E137+E136</f>
        <v>-65440.474799999996</v>
      </c>
      <c r="F138" s="189">
        <f t="shared" ref="F138" si="68">F137+F136</f>
        <v>-68249.134296000062</v>
      </c>
      <c r="G138" s="189">
        <f t="shared" ref="G138" si="69">G137+G136</f>
        <v>-71114.11698192</v>
      </c>
    </row>
    <row r="139" spans="1:7" x14ac:dyDescent="0.25">
      <c r="A139" s="38"/>
      <c r="C139" s="42"/>
      <c r="D139" s="42"/>
      <c r="E139" s="42"/>
      <c r="F139" s="42"/>
      <c r="G139" s="42"/>
    </row>
    <row r="140" spans="1:7" x14ac:dyDescent="0.25">
      <c r="A140" s="38"/>
      <c r="B140" s="2" t="s">
        <v>33</v>
      </c>
      <c r="C140" s="188">
        <f>C17-C32+C50+C63+C76+C92</f>
        <v>0</v>
      </c>
      <c r="D140" s="188">
        <f>D17-D32+D50+D63+D76+D92</f>
        <v>0</v>
      </c>
      <c r="E140" s="188">
        <f>E17-E32+E50+E63+E76+E92</f>
        <v>0</v>
      </c>
      <c r="F140" s="188">
        <f>F17-F32+F50+F63+F76+F92</f>
        <v>0</v>
      </c>
      <c r="G140" s="188">
        <f>G17-G32+G50+G63+G76+G92</f>
        <v>0</v>
      </c>
    </row>
    <row r="141" spans="1:7" x14ac:dyDescent="0.25">
      <c r="A141" s="38"/>
      <c r="B141" t="s">
        <v>82</v>
      </c>
      <c r="C141" s="188">
        <v>0</v>
      </c>
      <c r="D141" s="188">
        <f>C141</f>
        <v>0</v>
      </c>
      <c r="E141" s="188">
        <f>D141</f>
        <v>0</v>
      </c>
      <c r="F141" s="188">
        <f>E141</f>
        <v>0</v>
      </c>
      <c r="G141" s="188">
        <f>F141</f>
        <v>0</v>
      </c>
    </row>
    <row r="142" spans="1:7" x14ac:dyDescent="0.25">
      <c r="A142" s="38"/>
      <c r="B142" t="s">
        <v>83</v>
      </c>
      <c r="C142" s="189">
        <f>C141+C140</f>
        <v>0</v>
      </c>
      <c r="D142" s="189">
        <f t="shared" ref="D142" si="70">D141+D140</f>
        <v>0</v>
      </c>
      <c r="E142" s="189">
        <f t="shared" ref="E142" si="71">E141+E140</f>
        <v>0</v>
      </c>
      <c r="F142" s="189">
        <f t="shared" ref="F142" si="72">F141+F140</f>
        <v>0</v>
      </c>
      <c r="G142" s="189">
        <f t="shared" ref="G142" si="73">G141+G140</f>
        <v>0</v>
      </c>
    </row>
    <row r="143" spans="1:7" x14ac:dyDescent="0.25">
      <c r="A143" s="38"/>
      <c r="C143" s="224"/>
      <c r="D143" s="224"/>
      <c r="E143" s="224"/>
      <c r="F143" s="224"/>
      <c r="G143" s="224"/>
    </row>
    <row r="144" spans="1:7" x14ac:dyDescent="0.25">
      <c r="A144" s="38"/>
      <c r="B144" s="2" t="s">
        <v>118</v>
      </c>
      <c r="C144" s="224"/>
      <c r="D144" s="224"/>
      <c r="E144" s="224"/>
      <c r="F144" s="224"/>
      <c r="G144" s="224"/>
    </row>
    <row r="145" spans="1:9" x14ac:dyDescent="0.25">
      <c r="A145" s="38"/>
      <c r="B145" t="s">
        <v>82</v>
      </c>
      <c r="C145" s="188">
        <f>C18-C33+C55+C68+C97</f>
        <v>0</v>
      </c>
      <c r="D145" s="188">
        <f t="shared" ref="D145:G145" si="74">D18-D33+D55+D68+D97</f>
        <v>0</v>
      </c>
      <c r="E145" s="188">
        <f t="shared" si="74"/>
        <v>0</v>
      </c>
      <c r="F145" s="188">
        <f t="shared" si="74"/>
        <v>0</v>
      </c>
      <c r="G145" s="188">
        <f t="shared" si="74"/>
        <v>0</v>
      </c>
    </row>
    <row r="146" spans="1:9" x14ac:dyDescent="0.25">
      <c r="A146" s="38"/>
      <c r="B146" t="s">
        <v>83</v>
      </c>
      <c r="C146" s="188">
        <v>0</v>
      </c>
      <c r="D146" s="188">
        <v>0</v>
      </c>
      <c r="E146" s="188">
        <v>0</v>
      </c>
      <c r="F146" s="188">
        <v>0</v>
      </c>
      <c r="G146" s="188">
        <v>0</v>
      </c>
    </row>
    <row r="147" spans="1:9" x14ac:dyDescent="0.25">
      <c r="A147" s="38"/>
      <c r="C147" s="225">
        <f>C145+C146</f>
        <v>0</v>
      </c>
      <c r="D147" s="225">
        <f t="shared" ref="D147:G147" si="75">D145+D146</f>
        <v>0</v>
      </c>
      <c r="E147" s="225">
        <f t="shared" si="75"/>
        <v>0</v>
      </c>
      <c r="F147" s="225">
        <f t="shared" si="75"/>
        <v>0</v>
      </c>
      <c r="G147" s="225">
        <f t="shared" si="75"/>
        <v>0</v>
      </c>
    </row>
    <row r="148" spans="1:9" x14ac:dyDescent="0.25">
      <c r="A148" s="38"/>
      <c r="C148" s="188"/>
      <c r="D148" s="188"/>
      <c r="E148" s="188"/>
      <c r="F148" s="188"/>
      <c r="G148" s="188"/>
    </row>
    <row r="149" spans="1:9" x14ac:dyDescent="0.25">
      <c r="B149" s="2" t="s">
        <v>330</v>
      </c>
      <c r="C149" s="188">
        <f>C19-C34+C76+C84+C97</f>
        <v>-92152</v>
      </c>
      <c r="D149" s="188">
        <f>D19-D34+D76+D84+D97</f>
        <v>-93995.040000000037</v>
      </c>
      <c r="E149" s="188">
        <f>E19-E34+E76+E84+E97</f>
        <v>-95874.940800000099</v>
      </c>
      <c r="F149" s="188">
        <f>F19-F34+F76+F84+F97</f>
        <v>-97792.439616000047</v>
      </c>
      <c r="G149" s="188">
        <f>G19-G34+G76+G84+G97</f>
        <v>-99748.288408320048</v>
      </c>
    </row>
    <row r="150" spans="1:9" x14ac:dyDescent="0.25">
      <c r="B150" t="s">
        <v>82</v>
      </c>
      <c r="C150" s="42">
        <f>'2025-26 Annual Budget'!N99</f>
        <v>0</v>
      </c>
      <c r="D150" s="42">
        <f>C150</f>
        <v>0</v>
      </c>
      <c r="E150" s="42">
        <f>D150</f>
        <v>0</v>
      </c>
      <c r="F150" s="42">
        <f>E150</f>
        <v>0</v>
      </c>
      <c r="G150" s="42">
        <f>F150</f>
        <v>0</v>
      </c>
    </row>
    <row r="151" spans="1:9" x14ac:dyDescent="0.25">
      <c r="B151" t="s">
        <v>83</v>
      </c>
      <c r="C151" s="203">
        <f>C149+C150</f>
        <v>-92152</v>
      </c>
      <c r="D151" s="203">
        <f t="shared" ref="D151:G151" si="76">D149+D150</f>
        <v>-93995.040000000037</v>
      </c>
      <c r="E151" s="203">
        <f t="shared" si="76"/>
        <v>-95874.940800000099</v>
      </c>
      <c r="F151" s="203">
        <f t="shared" si="76"/>
        <v>-97792.439616000047</v>
      </c>
      <c r="G151" s="203">
        <f t="shared" si="76"/>
        <v>-99748.288408320048</v>
      </c>
    </row>
    <row r="152" spans="1:9" x14ac:dyDescent="0.25">
      <c r="C152" s="42"/>
      <c r="D152" s="42"/>
      <c r="E152" s="42"/>
      <c r="F152" s="42"/>
      <c r="G152" s="42"/>
    </row>
    <row r="153" spans="1:9" x14ac:dyDescent="0.25">
      <c r="B153" s="2" t="s">
        <v>331</v>
      </c>
      <c r="C153" s="188">
        <f>C20-C35+C51+C64+C78+C93</f>
        <v>483739</v>
      </c>
      <c r="D153" s="188">
        <f>D20-D35+D51+D64+D78+D93</f>
        <v>493413.77999999991</v>
      </c>
      <c r="E153" s="188">
        <f>E20-E35+E51+E64+E78+E93</f>
        <v>503281.05559999985</v>
      </c>
      <c r="F153" s="188">
        <f>F20-F35+F51+F64+F78+F93</f>
        <v>513346.67671199981</v>
      </c>
      <c r="G153" s="188">
        <f>G20-G35+G51+G64+G78+G93</f>
        <v>523613.61024623981</v>
      </c>
    </row>
    <row r="154" spans="1:9" x14ac:dyDescent="0.25">
      <c r="B154" t="s">
        <v>82</v>
      </c>
      <c r="C154" s="188">
        <f>'2025-26 Annual Budget'!O99</f>
        <v>0</v>
      </c>
      <c r="D154" s="188">
        <f>C154</f>
        <v>0</v>
      </c>
      <c r="E154" s="188">
        <f t="shared" ref="E154:G154" si="77">D154</f>
        <v>0</v>
      </c>
      <c r="F154" s="188">
        <f t="shared" si="77"/>
        <v>0</v>
      </c>
      <c r="G154" s="188">
        <f t="shared" si="77"/>
        <v>0</v>
      </c>
    </row>
    <row r="155" spans="1:9" x14ac:dyDescent="0.25">
      <c r="B155" t="s">
        <v>83</v>
      </c>
      <c r="C155" s="189">
        <f>C154+C153</f>
        <v>483739</v>
      </c>
      <c r="D155" s="189">
        <f t="shared" ref="D155" si="78">D154+D153</f>
        <v>493413.77999999991</v>
      </c>
      <c r="E155" s="189">
        <f t="shared" ref="E155" si="79">E154+E153</f>
        <v>503281.05559999985</v>
      </c>
      <c r="F155" s="189">
        <f t="shared" ref="F155" si="80">F154+F153</f>
        <v>513346.67671199981</v>
      </c>
      <c r="G155" s="189">
        <f t="shared" ref="G155" si="81">G154+G153</f>
        <v>523613.61024623981</v>
      </c>
    </row>
    <row r="156" spans="1:9" x14ac:dyDescent="0.25">
      <c r="B156" s="25"/>
      <c r="C156" s="42"/>
      <c r="D156" s="42"/>
      <c r="I156" s="42"/>
    </row>
    <row r="157" spans="1:9" ht="15.75" thickBot="1" x14ac:dyDescent="0.3">
      <c r="B157" s="25"/>
      <c r="C157" s="42"/>
    </row>
    <row r="158" spans="1:9" ht="124.5" customHeight="1" thickBot="1" x14ac:dyDescent="0.3">
      <c r="B158" s="233" t="s">
        <v>262</v>
      </c>
      <c r="C158" s="234"/>
      <c r="D158" s="234"/>
      <c r="E158" s="234"/>
      <c r="F158" s="234"/>
      <c r="G158" s="235"/>
    </row>
    <row r="159" spans="1:9" ht="15.75" thickBot="1" x14ac:dyDescent="0.3">
      <c r="B159" s="24"/>
    </row>
    <row r="160" spans="1:9" ht="32.25" customHeight="1" thickBot="1" x14ac:dyDescent="0.3">
      <c r="B160" s="230" t="s">
        <v>104</v>
      </c>
      <c r="C160" s="231"/>
      <c r="D160" s="231"/>
      <c r="E160" s="231"/>
      <c r="F160" s="231"/>
      <c r="G160" s="232"/>
    </row>
  </sheetData>
  <mergeCells count="2">
    <mergeCell ref="B158:G158"/>
    <mergeCell ref="B160:G16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V114"/>
  <sheetViews>
    <sheetView topLeftCell="C77" zoomScale="73" zoomScaleNormal="73" workbookViewId="0">
      <selection activeCell="B88" sqref="B88"/>
    </sheetView>
  </sheetViews>
  <sheetFormatPr defaultColWidth="9.140625" defaultRowHeight="15" x14ac:dyDescent="0.25"/>
  <cols>
    <col min="1" max="1" width="30.42578125" style="6" hidden="1" customWidth="1"/>
    <col min="2" max="2" width="61.7109375" customWidth="1"/>
    <col min="3" max="3" width="1.5703125" customWidth="1"/>
    <col min="4" max="4" width="16.28515625" style="66" customWidth="1"/>
    <col min="5" max="5" width="14.5703125" style="66" bestFit="1" customWidth="1"/>
    <col min="6" max="6" width="15" style="66" bestFit="1" customWidth="1"/>
    <col min="7" max="7" width="14.5703125" style="66" customWidth="1"/>
    <col min="8" max="8" width="16.140625" style="66" bestFit="1" customWidth="1"/>
    <col min="9" max="9" width="14.28515625" style="66" customWidth="1"/>
    <col min="10" max="10" width="13.7109375" style="66" customWidth="1"/>
    <col min="11" max="11" width="16.5703125" style="66" bestFit="1" customWidth="1"/>
    <col min="12" max="14" width="14.5703125" style="66" customWidth="1"/>
    <col min="15" max="15" width="20" style="66" bestFit="1" customWidth="1"/>
    <col min="16" max="16" width="13.5703125" style="67" customWidth="1"/>
    <col min="17" max="17" width="13" bestFit="1" customWidth="1"/>
    <col min="18" max="18" width="13" style="59" bestFit="1" customWidth="1"/>
    <col min="19" max="19" width="9.5703125" bestFit="1" customWidth="1"/>
    <col min="22" max="22" width="10.85546875" style="92" bestFit="1" customWidth="1"/>
  </cols>
  <sheetData>
    <row r="1" spans="1:22" ht="18.75" x14ac:dyDescent="0.3">
      <c r="B1" s="1" t="str">
        <f>'5 YR FP - NATURE'!A1</f>
        <v>LONG POINT FIRST NATION</v>
      </c>
      <c r="R1" s="8"/>
    </row>
    <row r="2" spans="1:22" ht="18.75" x14ac:dyDescent="0.3">
      <c r="B2" s="1" t="s">
        <v>3</v>
      </c>
      <c r="R2" s="8"/>
    </row>
    <row r="3" spans="1:22" ht="18.75" x14ac:dyDescent="0.3">
      <c r="B3" s="3" t="s">
        <v>311</v>
      </c>
      <c r="D3" s="68"/>
      <c r="R3" s="8"/>
    </row>
    <row r="4" spans="1:22" s="10" customFormat="1" x14ac:dyDescent="0.25">
      <c r="A4" s="9"/>
      <c r="B4" s="12"/>
      <c r="D4" s="69"/>
      <c r="E4" s="70"/>
      <c r="F4" s="9"/>
      <c r="G4" s="71"/>
      <c r="H4" s="70"/>
      <c r="I4" s="9"/>
      <c r="J4" s="70"/>
      <c r="K4" s="71"/>
      <c r="L4" s="9"/>
      <c r="M4" s="9"/>
      <c r="N4" s="9"/>
      <c r="O4" s="9"/>
      <c r="P4" s="72"/>
      <c r="R4" s="11"/>
      <c r="V4" s="93"/>
    </row>
    <row r="5" spans="1:22" x14ac:dyDescent="0.25">
      <c r="R5" s="8"/>
    </row>
    <row r="6" spans="1:22" ht="42.75" customHeight="1" x14ac:dyDescent="0.25">
      <c r="D6" s="18" t="s">
        <v>74</v>
      </c>
      <c r="E6" s="16" t="s">
        <v>31</v>
      </c>
      <c r="F6" s="20" t="s">
        <v>10</v>
      </c>
      <c r="G6" s="14" t="s">
        <v>9</v>
      </c>
      <c r="H6" s="22" t="s">
        <v>32</v>
      </c>
      <c r="I6" s="27" t="s">
        <v>130</v>
      </c>
      <c r="J6" s="29" t="s">
        <v>35</v>
      </c>
      <c r="K6" s="31" t="s">
        <v>36</v>
      </c>
      <c r="L6" s="35" t="s">
        <v>33</v>
      </c>
      <c r="M6" s="190" t="s">
        <v>118</v>
      </c>
      <c r="N6" s="197" t="s">
        <v>321</v>
      </c>
      <c r="O6" s="33" t="s">
        <v>320</v>
      </c>
      <c r="P6" s="57" t="s">
        <v>28</v>
      </c>
      <c r="R6" s="8"/>
    </row>
    <row r="7" spans="1:22" ht="6" customHeight="1" x14ac:dyDescent="0.25">
      <c r="D7" s="19"/>
      <c r="E7" s="17"/>
      <c r="F7" s="21"/>
      <c r="G7" s="15"/>
      <c r="H7" s="23"/>
      <c r="I7" s="28"/>
      <c r="J7" s="30"/>
      <c r="K7" s="32"/>
      <c r="L7" s="36"/>
      <c r="M7" s="191"/>
      <c r="N7" s="198"/>
      <c r="O7" s="34"/>
      <c r="P7" s="58"/>
      <c r="R7" s="8"/>
    </row>
    <row r="8" spans="1:22" s="7" customFormat="1" x14ac:dyDescent="0.25">
      <c r="A8" s="107" t="s">
        <v>21</v>
      </c>
      <c r="B8" s="108" t="s">
        <v>0</v>
      </c>
      <c r="D8" s="109"/>
      <c r="E8" s="110"/>
      <c r="F8" s="111"/>
      <c r="G8" s="112"/>
      <c r="H8" s="113"/>
      <c r="I8" s="114"/>
      <c r="J8" s="115"/>
      <c r="K8" s="116"/>
      <c r="L8" s="117"/>
      <c r="M8" s="192"/>
      <c r="N8" s="199"/>
      <c r="O8" s="118"/>
      <c r="P8" s="119"/>
      <c r="R8" s="120"/>
      <c r="V8" s="121"/>
    </row>
    <row r="9" spans="1:22" s="7" customFormat="1" x14ac:dyDescent="0.25">
      <c r="A9" s="122">
        <v>610</v>
      </c>
      <c r="B9" s="7" t="s">
        <v>323</v>
      </c>
      <c r="D9" s="104">
        <v>773382</v>
      </c>
      <c r="E9" s="105"/>
      <c r="F9" s="95">
        <v>10513780</v>
      </c>
      <c r="G9" s="96">
        <v>5616200</v>
      </c>
      <c r="H9" s="97">
        <v>1442722</v>
      </c>
      <c r="I9" s="98">
        <v>52559</v>
      </c>
      <c r="J9" s="99">
        <v>2019632</v>
      </c>
      <c r="K9" s="100">
        <v>45022</v>
      </c>
      <c r="L9" s="101">
        <v>107019</v>
      </c>
      <c r="M9" s="193">
        <v>1318135</v>
      </c>
      <c r="N9" s="200"/>
      <c r="O9" s="102"/>
      <c r="P9" s="103">
        <f>SUM(D9:O9)</f>
        <v>21888451</v>
      </c>
      <c r="R9" s="120"/>
      <c r="V9" s="121"/>
    </row>
    <row r="10" spans="1:22" s="7" customFormat="1" x14ac:dyDescent="0.25">
      <c r="A10" s="122">
        <v>620</v>
      </c>
      <c r="B10" s="7" t="s">
        <v>322</v>
      </c>
      <c r="D10" s="104"/>
      <c r="E10" s="105"/>
      <c r="F10" s="95"/>
      <c r="G10" s="96"/>
      <c r="H10" s="97"/>
      <c r="I10" s="98"/>
      <c r="J10" s="99"/>
      <c r="K10" s="100"/>
      <c r="L10" s="101"/>
      <c r="M10" s="193"/>
      <c r="N10" s="200"/>
      <c r="O10" s="102">
        <f>45000+90000</f>
        <v>135000</v>
      </c>
      <c r="P10" s="103">
        <f t="shared" ref="P10:P26" si="0">SUM(D10:O10)</f>
        <v>135000</v>
      </c>
      <c r="R10" s="120"/>
      <c r="V10" s="121"/>
    </row>
    <row r="11" spans="1:22" s="7" customFormat="1" x14ac:dyDescent="0.25">
      <c r="A11" s="122">
        <v>649</v>
      </c>
      <c r="B11" s="7" t="s">
        <v>12</v>
      </c>
      <c r="D11" s="104">
        <v>1375000</v>
      </c>
      <c r="E11" s="105"/>
      <c r="F11" s="95"/>
      <c r="G11" s="96"/>
      <c r="H11" s="97">
        <v>48694</v>
      </c>
      <c r="I11" s="98"/>
      <c r="J11" s="99"/>
      <c r="K11" s="100"/>
      <c r="L11" s="101"/>
      <c r="M11" s="193"/>
      <c r="N11" s="200"/>
      <c r="O11" s="102"/>
      <c r="P11" s="103">
        <f t="shared" si="0"/>
        <v>1423694</v>
      </c>
      <c r="R11" s="120"/>
      <c r="V11" s="121"/>
    </row>
    <row r="12" spans="1:22" s="7" customFormat="1" x14ac:dyDescent="0.25">
      <c r="A12" s="122" t="s">
        <v>19</v>
      </c>
      <c r="B12" s="7" t="s">
        <v>40</v>
      </c>
      <c r="D12" s="104"/>
      <c r="E12" s="105"/>
      <c r="F12" s="95"/>
      <c r="G12" s="96"/>
      <c r="H12" s="97">
        <v>84540</v>
      </c>
      <c r="I12" s="98"/>
      <c r="J12" s="99"/>
      <c r="K12" s="100">
        <v>197020</v>
      </c>
      <c r="L12" s="101"/>
      <c r="M12" s="193"/>
      <c r="N12" s="200"/>
      <c r="O12" s="102"/>
      <c r="P12" s="103">
        <f t="shared" si="0"/>
        <v>281560</v>
      </c>
      <c r="R12" s="120"/>
      <c r="V12" s="121"/>
    </row>
    <row r="13" spans="1:22" s="7" customFormat="1" x14ac:dyDescent="0.25">
      <c r="A13" s="122"/>
      <c r="B13" s="7" t="s">
        <v>114</v>
      </c>
      <c r="D13" s="104"/>
      <c r="E13" s="105"/>
      <c r="F13" s="95"/>
      <c r="G13" s="96">
        <v>15000</v>
      </c>
      <c r="H13" s="97"/>
      <c r="I13" s="98"/>
      <c r="J13" s="99"/>
      <c r="K13" s="100"/>
      <c r="L13" s="101"/>
      <c r="M13" s="193"/>
      <c r="N13" s="200"/>
      <c r="O13" s="102"/>
      <c r="P13" s="103">
        <f t="shared" si="0"/>
        <v>15000</v>
      </c>
      <c r="Q13" s="123"/>
      <c r="R13" s="120"/>
      <c r="S13" s="123"/>
      <c r="V13" s="121"/>
    </row>
    <row r="14" spans="1:22" s="7" customFormat="1" x14ac:dyDescent="0.25">
      <c r="A14" s="122">
        <v>634</v>
      </c>
      <c r="B14" s="7" t="s">
        <v>43</v>
      </c>
      <c r="D14" s="104"/>
      <c r="E14" s="105"/>
      <c r="F14" s="95"/>
      <c r="G14" s="96"/>
      <c r="H14" s="97"/>
      <c r="I14" s="98"/>
      <c r="J14" s="99"/>
      <c r="K14" s="100"/>
      <c r="L14" s="101"/>
      <c r="M14" s="193"/>
      <c r="N14" s="200">
        <v>428944</v>
      </c>
      <c r="O14" s="102">
        <v>750000</v>
      </c>
      <c r="P14" s="103">
        <f t="shared" si="0"/>
        <v>1178944</v>
      </c>
      <c r="R14" s="120"/>
      <c r="V14" s="121"/>
    </row>
    <row r="15" spans="1:22" s="7" customFormat="1" hidden="1" x14ac:dyDescent="0.25">
      <c r="A15" s="122">
        <v>632</v>
      </c>
      <c r="B15" s="7" t="s">
        <v>41</v>
      </c>
      <c r="D15" s="104"/>
      <c r="E15" s="105"/>
      <c r="F15" s="95"/>
      <c r="G15" s="96"/>
      <c r="H15" s="97"/>
      <c r="I15" s="98"/>
      <c r="J15" s="99"/>
      <c r="K15" s="100"/>
      <c r="L15" s="101"/>
      <c r="M15" s="193"/>
      <c r="N15" s="200"/>
      <c r="O15" s="102"/>
      <c r="P15" s="103">
        <f t="shared" si="0"/>
        <v>0</v>
      </c>
      <c r="R15" s="120"/>
      <c r="V15" s="121"/>
    </row>
    <row r="16" spans="1:22" s="7" customFormat="1" x14ac:dyDescent="0.25">
      <c r="A16" s="122"/>
      <c r="B16" s="7" t="s">
        <v>120</v>
      </c>
      <c r="D16" s="104"/>
      <c r="E16" s="105"/>
      <c r="F16" s="95"/>
      <c r="G16" s="96"/>
      <c r="H16" s="97"/>
      <c r="I16" s="98"/>
      <c r="J16" s="99"/>
      <c r="K16" s="100"/>
      <c r="L16" s="101"/>
      <c r="M16" s="193"/>
      <c r="N16" s="200">
        <v>190000</v>
      </c>
      <c r="O16" s="102"/>
      <c r="P16" s="103">
        <f t="shared" si="0"/>
        <v>190000</v>
      </c>
      <c r="R16" s="120"/>
      <c r="V16" s="121"/>
    </row>
    <row r="17" spans="1:22" s="7" customFormat="1" x14ac:dyDescent="0.25">
      <c r="A17" s="122">
        <v>630</v>
      </c>
      <c r="B17" s="7" t="s">
        <v>42</v>
      </c>
      <c r="D17" s="104"/>
      <c r="E17" s="105"/>
      <c r="F17" s="95">
        <v>46735</v>
      </c>
      <c r="G17" s="96"/>
      <c r="H17" s="97"/>
      <c r="I17" s="98"/>
      <c r="J17" s="99"/>
      <c r="K17" s="100"/>
      <c r="L17" s="101"/>
      <c r="M17" s="193"/>
      <c r="N17" s="200"/>
      <c r="O17" s="102"/>
      <c r="P17" s="103">
        <f t="shared" si="0"/>
        <v>46735</v>
      </c>
      <c r="R17" s="120"/>
      <c r="V17" s="121"/>
    </row>
    <row r="18" spans="1:22" s="7" customFormat="1" x14ac:dyDescent="0.25">
      <c r="A18" s="122"/>
      <c r="B18" s="7" t="s">
        <v>115</v>
      </c>
      <c r="D18" s="104"/>
      <c r="E18" s="105">
        <v>457808</v>
      </c>
      <c r="F18" s="95"/>
      <c r="G18" s="96"/>
      <c r="H18" s="97"/>
      <c r="I18" s="98"/>
      <c r="J18" s="99"/>
      <c r="K18" s="100"/>
      <c r="L18" s="101"/>
      <c r="M18" s="193"/>
      <c r="N18" s="200"/>
      <c r="O18" s="102"/>
      <c r="P18" s="103">
        <f t="shared" si="0"/>
        <v>457808</v>
      </c>
      <c r="R18" s="120"/>
      <c r="V18" s="121"/>
    </row>
    <row r="19" spans="1:22" s="7" customFormat="1" x14ac:dyDescent="0.25">
      <c r="A19" s="122"/>
      <c r="B19" s="7" t="s">
        <v>97</v>
      </c>
      <c r="D19" s="104"/>
      <c r="E19" s="105"/>
      <c r="F19" s="95"/>
      <c r="G19" s="96"/>
      <c r="H19" s="97"/>
      <c r="I19" s="98"/>
      <c r="J19" s="99"/>
      <c r="K19" s="100"/>
      <c r="L19" s="101"/>
      <c r="M19" s="193"/>
      <c r="N19" s="200"/>
      <c r="O19" s="102"/>
      <c r="P19" s="103">
        <f t="shared" si="0"/>
        <v>0</v>
      </c>
      <c r="R19" s="120"/>
      <c r="V19" s="121"/>
    </row>
    <row r="20" spans="1:22" s="7" customFormat="1" x14ac:dyDescent="0.25">
      <c r="A20" s="122">
        <v>615</v>
      </c>
      <c r="B20" s="7" t="s">
        <v>119</v>
      </c>
      <c r="D20" s="104"/>
      <c r="E20" s="105"/>
      <c r="F20" s="95"/>
      <c r="G20" s="96"/>
      <c r="H20" s="97"/>
      <c r="I20" s="98"/>
      <c r="J20" s="99"/>
      <c r="K20" s="100"/>
      <c r="L20" s="101"/>
      <c r="M20" s="193"/>
      <c r="N20" s="200">
        <v>135000</v>
      </c>
      <c r="O20" s="102"/>
      <c r="P20" s="103">
        <f t="shared" si="0"/>
        <v>135000</v>
      </c>
      <c r="R20" s="120"/>
      <c r="V20" s="121"/>
    </row>
    <row r="21" spans="1:22" s="7" customFormat="1" hidden="1" x14ac:dyDescent="0.25">
      <c r="A21" s="122">
        <v>620</v>
      </c>
      <c r="B21" s="7" t="s">
        <v>46</v>
      </c>
      <c r="D21" s="104"/>
      <c r="E21" s="105"/>
      <c r="F21" s="95"/>
      <c r="G21" s="96"/>
      <c r="H21" s="97"/>
      <c r="I21" s="98"/>
      <c r="J21" s="99"/>
      <c r="K21" s="100"/>
      <c r="L21" s="101"/>
      <c r="M21" s="193"/>
      <c r="N21" s="200"/>
      <c r="O21" s="102"/>
      <c r="P21" s="103">
        <f t="shared" si="0"/>
        <v>0</v>
      </c>
      <c r="R21" s="120"/>
      <c r="S21" s="124"/>
      <c r="V21" s="121"/>
    </row>
    <row r="22" spans="1:22" s="7" customFormat="1" x14ac:dyDescent="0.25">
      <c r="A22" s="122"/>
      <c r="B22" s="7" t="s">
        <v>61</v>
      </c>
      <c r="D22" s="104"/>
      <c r="E22" s="105"/>
      <c r="F22" s="95">
        <v>72524</v>
      </c>
      <c r="G22" s="96"/>
      <c r="H22" s="97">
        <v>42600</v>
      </c>
      <c r="I22" s="98"/>
      <c r="J22" s="99"/>
      <c r="K22" s="100">
        <v>192956</v>
      </c>
      <c r="L22" s="101"/>
      <c r="M22" s="193"/>
      <c r="N22" s="200"/>
      <c r="O22" s="102"/>
      <c r="P22" s="103">
        <f t="shared" si="0"/>
        <v>308080</v>
      </c>
      <c r="R22" s="120"/>
      <c r="V22" s="121"/>
    </row>
    <row r="23" spans="1:22" s="7" customFormat="1" x14ac:dyDescent="0.25">
      <c r="A23" s="122"/>
      <c r="B23" s="7" t="s">
        <v>316</v>
      </c>
      <c r="D23" s="104">
        <v>900000</v>
      </c>
      <c r="E23" s="105"/>
      <c r="F23" s="95"/>
      <c r="G23" s="96"/>
      <c r="H23" s="97"/>
      <c r="I23" s="98"/>
      <c r="J23" s="99"/>
      <c r="K23" s="100"/>
      <c r="L23" s="101"/>
      <c r="M23" s="193"/>
      <c r="N23" s="200"/>
      <c r="O23" s="102"/>
      <c r="P23" s="103">
        <f t="shared" si="0"/>
        <v>900000</v>
      </c>
      <c r="R23" s="120"/>
      <c r="V23" s="121"/>
    </row>
    <row r="24" spans="1:22" s="7" customFormat="1" x14ac:dyDescent="0.25">
      <c r="A24" s="122"/>
      <c r="B24" s="7" t="s">
        <v>318</v>
      </c>
      <c r="D24" s="104">
        <v>175000</v>
      </c>
      <c r="E24" s="105"/>
      <c r="F24" s="95"/>
      <c r="G24" s="96"/>
      <c r="H24" s="97"/>
      <c r="I24" s="98"/>
      <c r="J24" s="99"/>
      <c r="K24" s="100"/>
      <c r="L24" s="101"/>
      <c r="M24" s="193"/>
      <c r="N24" s="200"/>
      <c r="O24" s="102"/>
      <c r="P24" s="103">
        <f t="shared" si="0"/>
        <v>175000</v>
      </c>
      <c r="R24" s="120"/>
      <c r="V24" s="121"/>
    </row>
    <row r="25" spans="1:22" s="7" customFormat="1" x14ac:dyDescent="0.25">
      <c r="A25" s="122"/>
      <c r="B25" s="7" t="s">
        <v>95</v>
      </c>
      <c r="D25" s="104"/>
      <c r="E25" s="105"/>
      <c r="F25" s="95"/>
      <c r="G25" s="96"/>
      <c r="H25" s="97">
        <v>500000</v>
      </c>
      <c r="I25" s="98"/>
      <c r="J25" s="99"/>
      <c r="K25" s="100"/>
      <c r="L25" s="101"/>
      <c r="M25" s="193"/>
      <c r="N25" s="200">
        <v>150594</v>
      </c>
      <c r="O25" s="102"/>
      <c r="P25" s="103">
        <f t="shared" si="0"/>
        <v>650594</v>
      </c>
      <c r="R25" s="91"/>
      <c r="V25" s="121"/>
    </row>
    <row r="26" spans="1:22" s="7" customFormat="1" x14ac:dyDescent="0.25">
      <c r="A26" s="122">
        <v>626</v>
      </c>
      <c r="B26" s="7" t="s">
        <v>317</v>
      </c>
      <c r="D26" s="104">
        <v>35000</v>
      </c>
      <c r="E26" s="105"/>
      <c r="F26" s="95"/>
      <c r="G26" s="96">
        <v>8690</v>
      </c>
      <c r="H26" s="97">
        <v>104800</v>
      </c>
      <c r="I26" s="98"/>
      <c r="J26" s="99"/>
      <c r="K26" s="100"/>
      <c r="L26" s="101"/>
      <c r="M26" s="193"/>
      <c r="N26" s="200"/>
      <c r="O26" s="102">
        <v>200773</v>
      </c>
      <c r="P26" s="103">
        <f t="shared" si="0"/>
        <v>349263</v>
      </c>
      <c r="R26" s="120"/>
      <c r="V26" s="121"/>
    </row>
    <row r="27" spans="1:22" s="7" customFormat="1" x14ac:dyDescent="0.25">
      <c r="A27" s="122"/>
      <c r="B27" s="125" t="s">
        <v>4</v>
      </c>
      <c r="D27" s="126">
        <f t="shared" ref="D27:P27" si="1">SUM(D9:D26)</f>
        <v>3258382</v>
      </c>
      <c r="E27" s="127">
        <f t="shared" si="1"/>
        <v>457808</v>
      </c>
      <c r="F27" s="128">
        <f t="shared" si="1"/>
        <v>10633039</v>
      </c>
      <c r="G27" s="129">
        <f t="shared" si="1"/>
        <v>5639890</v>
      </c>
      <c r="H27" s="130">
        <f t="shared" si="1"/>
        <v>2223356</v>
      </c>
      <c r="I27" s="131">
        <f t="shared" si="1"/>
        <v>52559</v>
      </c>
      <c r="J27" s="132">
        <f t="shared" si="1"/>
        <v>2019632</v>
      </c>
      <c r="K27" s="133">
        <f t="shared" si="1"/>
        <v>434998</v>
      </c>
      <c r="L27" s="134">
        <f t="shared" si="1"/>
        <v>107019</v>
      </c>
      <c r="M27" s="194">
        <f t="shared" si="1"/>
        <v>1318135</v>
      </c>
      <c r="N27" s="201">
        <f t="shared" si="1"/>
        <v>904538</v>
      </c>
      <c r="O27" s="135">
        <f t="shared" si="1"/>
        <v>1085773</v>
      </c>
      <c r="P27" s="136">
        <f t="shared" si="1"/>
        <v>28135129</v>
      </c>
      <c r="Q27" s="123">
        <f>'5 YR FP - NATURE'!C26-'2025-26 Annual Budget'!P27</f>
        <v>0</v>
      </c>
      <c r="R27" s="120"/>
      <c r="V27" s="121"/>
    </row>
    <row r="28" spans="1:22" s="7" customFormat="1" x14ac:dyDescent="0.25">
      <c r="A28" s="122"/>
      <c r="B28" s="137"/>
      <c r="D28" s="104"/>
      <c r="E28" s="105"/>
      <c r="F28" s="95"/>
      <c r="G28" s="96"/>
      <c r="H28" s="97"/>
      <c r="I28" s="98"/>
      <c r="J28" s="99"/>
      <c r="K28" s="100"/>
      <c r="L28" s="101"/>
      <c r="M28" s="193"/>
      <c r="N28" s="200"/>
      <c r="O28" s="138"/>
      <c r="P28" s="139"/>
      <c r="R28" s="120"/>
      <c r="V28" s="121"/>
    </row>
    <row r="29" spans="1:22" s="7" customFormat="1" ht="14.25" customHeight="1" x14ac:dyDescent="0.25">
      <c r="A29" s="122"/>
      <c r="B29" s="108" t="s">
        <v>5</v>
      </c>
      <c r="D29" s="104"/>
      <c r="E29" s="105"/>
      <c r="F29" s="95"/>
      <c r="G29" s="96"/>
      <c r="H29" s="97"/>
      <c r="I29" s="98"/>
      <c r="J29" s="99"/>
      <c r="K29" s="100"/>
      <c r="L29" s="101"/>
      <c r="M29" s="193"/>
      <c r="N29" s="200"/>
      <c r="O29" s="138"/>
      <c r="P29" s="140"/>
      <c r="R29" s="120"/>
      <c r="V29" s="121"/>
    </row>
    <row r="30" spans="1:22" s="7" customFormat="1" x14ac:dyDescent="0.25">
      <c r="A30" s="122"/>
      <c r="B30" s="7" t="s">
        <v>48</v>
      </c>
      <c r="D30" s="104">
        <v>1268203</v>
      </c>
      <c r="E30" s="105">
        <v>111492</v>
      </c>
      <c r="F30" s="95">
        <v>5356800</v>
      </c>
      <c r="G30" s="96">
        <v>2993602</v>
      </c>
      <c r="H30" s="97">
        <v>577645</v>
      </c>
      <c r="I30" s="98">
        <v>125198</v>
      </c>
      <c r="J30" s="99">
        <v>111132</v>
      </c>
      <c r="K30" s="100">
        <v>83006</v>
      </c>
      <c r="L30" s="101">
        <v>69744</v>
      </c>
      <c r="M30" s="193">
        <v>428650</v>
      </c>
      <c r="N30" s="200">
        <v>633340</v>
      </c>
      <c r="O30" s="102">
        <f>169111+52800+266261</f>
        <v>488172</v>
      </c>
      <c r="P30" s="103">
        <f>SUM(D30:O30)</f>
        <v>12246984</v>
      </c>
      <c r="R30" s="120"/>
      <c r="V30" s="121"/>
    </row>
    <row r="31" spans="1:22" s="7" customFormat="1" x14ac:dyDescent="0.25">
      <c r="A31" s="122">
        <v>850</v>
      </c>
      <c r="B31" s="7" t="s">
        <v>12</v>
      </c>
      <c r="D31" s="104">
        <v>7636</v>
      </c>
      <c r="E31" s="105">
        <v>20957</v>
      </c>
      <c r="F31" s="95">
        <v>1031832</v>
      </c>
      <c r="G31" s="96">
        <v>372558</v>
      </c>
      <c r="H31" s="97">
        <v>70507</v>
      </c>
      <c r="I31" s="98">
        <v>259</v>
      </c>
      <c r="J31" s="99">
        <v>11300</v>
      </c>
      <c r="K31" s="100">
        <v>4400</v>
      </c>
      <c r="L31" s="101">
        <v>9890</v>
      </c>
      <c r="M31" s="193">
        <v>131800</v>
      </c>
      <c r="N31" s="200">
        <v>11750</v>
      </c>
      <c r="O31" s="102">
        <f>19990+12000</f>
        <v>31990</v>
      </c>
      <c r="P31" s="103">
        <f t="shared" ref="P31:P74" si="2">SUM(D31:O31)</f>
        <v>1704879</v>
      </c>
      <c r="R31" s="120"/>
      <c r="V31" s="121"/>
    </row>
    <row r="32" spans="1:22" s="7" customFormat="1" ht="14.25" customHeight="1" x14ac:dyDescent="0.25">
      <c r="A32" s="122"/>
      <c r="B32" s="7" t="s">
        <v>133</v>
      </c>
      <c r="D32" s="104">
        <v>65000</v>
      </c>
      <c r="E32" s="105"/>
      <c r="F32" s="95"/>
      <c r="G32" s="96">
        <v>162974</v>
      </c>
      <c r="H32" s="97"/>
      <c r="I32" s="98"/>
      <c r="J32" s="99">
        <v>200000</v>
      </c>
      <c r="K32" s="100"/>
      <c r="L32" s="101"/>
      <c r="M32" s="193">
        <v>18000</v>
      </c>
      <c r="N32" s="200"/>
      <c r="O32" s="102"/>
      <c r="P32" s="103">
        <f t="shared" si="2"/>
        <v>445974</v>
      </c>
      <c r="R32" s="120"/>
      <c r="V32" s="121"/>
    </row>
    <row r="33" spans="1:22" s="7" customFormat="1" x14ac:dyDescent="0.25">
      <c r="A33" s="122">
        <v>830</v>
      </c>
      <c r="B33" s="7" t="s">
        <v>131</v>
      </c>
      <c r="D33" s="104"/>
      <c r="E33" s="105"/>
      <c r="F33" s="95"/>
      <c r="G33" s="96"/>
      <c r="H33" s="97"/>
      <c r="I33" s="98"/>
      <c r="J33" s="99"/>
      <c r="K33" s="100"/>
      <c r="L33" s="101"/>
      <c r="M33" s="193"/>
      <c r="N33" s="200"/>
      <c r="O33" s="102"/>
      <c r="P33" s="103">
        <f t="shared" si="2"/>
        <v>0</v>
      </c>
      <c r="R33" s="120"/>
      <c r="V33" s="121"/>
    </row>
    <row r="34" spans="1:22" s="7" customFormat="1" x14ac:dyDescent="0.25">
      <c r="A34" s="122">
        <v>730</v>
      </c>
      <c r="B34" s="7" t="s">
        <v>49</v>
      </c>
      <c r="D34" s="104"/>
      <c r="E34" s="105"/>
      <c r="F34" s="95"/>
      <c r="G34" s="96"/>
      <c r="H34" s="97"/>
      <c r="I34" s="98"/>
      <c r="J34" s="99">
        <v>1509256</v>
      </c>
      <c r="K34" s="100"/>
      <c r="L34" s="101"/>
      <c r="M34" s="193"/>
      <c r="N34" s="200"/>
      <c r="O34" s="102"/>
      <c r="P34" s="103">
        <f t="shared" si="2"/>
        <v>1509256</v>
      </c>
      <c r="R34" s="120"/>
      <c r="V34" s="121"/>
    </row>
    <row r="35" spans="1:22" s="7" customFormat="1" x14ac:dyDescent="0.25">
      <c r="A35" s="122" t="s">
        <v>26</v>
      </c>
      <c r="B35" s="7" t="s">
        <v>50</v>
      </c>
      <c r="D35" s="104"/>
      <c r="E35" s="105"/>
      <c r="F35" s="95"/>
      <c r="G35" s="96">
        <v>1300</v>
      </c>
      <c r="H35" s="97"/>
      <c r="I35" s="98"/>
      <c r="J35" s="99"/>
      <c r="K35" s="100"/>
      <c r="L35" s="101">
        <v>10000</v>
      </c>
      <c r="M35" s="193"/>
      <c r="N35" s="200"/>
      <c r="O35" s="102"/>
      <c r="P35" s="103">
        <f t="shared" si="2"/>
        <v>11300</v>
      </c>
      <c r="R35" s="120"/>
      <c r="V35" s="121"/>
    </row>
    <row r="36" spans="1:22" s="7" customFormat="1" x14ac:dyDescent="0.25">
      <c r="A36" s="122"/>
      <c r="B36" s="7" t="s">
        <v>281</v>
      </c>
      <c r="D36" s="104"/>
      <c r="E36" s="105"/>
      <c r="F36" s="95">
        <v>101000</v>
      </c>
      <c r="G36" s="96"/>
      <c r="H36" s="97"/>
      <c r="I36" s="98"/>
      <c r="J36" s="99"/>
      <c r="K36" s="100"/>
      <c r="L36" s="101"/>
      <c r="M36" s="193"/>
      <c r="N36" s="200"/>
      <c r="O36" s="102"/>
      <c r="P36" s="103">
        <f t="shared" si="2"/>
        <v>101000</v>
      </c>
      <c r="R36" s="120"/>
      <c r="V36" s="121"/>
    </row>
    <row r="37" spans="1:22" s="7" customFormat="1" x14ac:dyDescent="0.25">
      <c r="A37" s="122">
        <v>740</v>
      </c>
      <c r="B37" s="7" t="s">
        <v>88</v>
      </c>
      <c r="D37" s="104">
        <v>80000</v>
      </c>
      <c r="E37" s="105"/>
      <c r="F37" s="95">
        <v>22148</v>
      </c>
      <c r="G37" s="96"/>
      <c r="H37" s="97"/>
      <c r="I37" s="98"/>
      <c r="J37" s="99"/>
      <c r="K37" s="100">
        <v>65961</v>
      </c>
      <c r="L37" s="101"/>
      <c r="M37" s="193"/>
      <c r="N37" s="200"/>
      <c r="O37" s="102"/>
      <c r="P37" s="103">
        <f t="shared" si="2"/>
        <v>168109</v>
      </c>
      <c r="R37" s="120"/>
      <c r="V37" s="121"/>
    </row>
    <row r="38" spans="1:22" s="7" customFormat="1" x14ac:dyDescent="0.25">
      <c r="A38" s="141" t="s">
        <v>20</v>
      </c>
      <c r="B38" s="7" t="s">
        <v>51</v>
      </c>
      <c r="D38" s="104">
        <v>179350</v>
      </c>
      <c r="E38" s="105"/>
      <c r="F38" s="95">
        <v>1020000</v>
      </c>
      <c r="G38" s="96">
        <v>167549</v>
      </c>
      <c r="H38" s="97">
        <v>211000</v>
      </c>
      <c r="I38" s="98">
        <v>60000</v>
      </c>
      <c r="J38" s="99"/>
      <c r="K38" s="100">
        <v>6500</v>
      </c>
      <c r="L38" s="101"/>
      <c r="M38" s="193"/>
      <c r="N38" s="200">
        <v>110000</v>
      </c>
      <c r="O38" s="102">
        <f>31682+1800</f>
        <v>33482</v>
      </c>
      <c r="P38" s="103">
        <f t="shared" si="2"/>
        <v>1787881</v>
      </c>
      <c r="R38" s="120"/>
      <c r="V38" s="121"/>
    </row>
    <row r="39" spans="1:22" s="7" customFormat="1" x14ac:dyDescent="0.25">
      <c r="A39" s="122" t="s">
        <v>16</v>
      </c>
      <c r="B39" s="7" t="s">
        <v>52</v>
      </c>
      <c r="D39" s="104">
        <v>13000</v>
      </c>
      <c r="E39" s="105"/>
      <c r="F39" s="95"/>
      <c r="G39" s="96"/>
      <c r="H39" s="97"/>
      <c r="I39" s="98"/>
      <c r="J39" s="99"/>
      <c r="K39" s="100"/>
      <c r="L39" s="101"/>
      <c r="M39" s="193"/>
      <c r="N39" s="200"/>
      <c r="O39" s="102"/>
      <c r="P39" s="103">
        <f t="shared" si="2"/>
        <v>13000</v>
      </c>
      <c r="R39" s="120"/>
      <c r="V39" s="121"/>
    </row>
    <row r="40" spans="1:22" s="7" customFormat="1" x14ac:dyDescent="0.25">
      <c r="A40" s="122"/>
      <c r="B40" s="7" t="s">
        <v>53</v>
      </c>
      <c r="D40" s="104"/>
      <c r="E40" s="105"/>
      <c r="F40" s="95">
        <v>95000</v>
      </c>
      <c r="G40" s="96">
        <v>19200</v>
      </c>
      <c r="H40" s="97">
        <v>49492</v>
      </c>
      <c r="I40" s="98"/>
      <c r="J40" s="99"/>
      <c r="K40" s="100">
        <v>3900</v>
      </c>
      <c r="L40" s="101"/>
      <c r="M40" s="193"/>
      <c r="N40" s="200"/>
      <c r="O40" s="102">
        <v>2400</v>
      </c>
      <c r="P40" s="103">
        <f t="shared" si="2"/>
        <v>169992</v>
      </c>
      <c r="R40" s="120"/>
      <c r="V40" s="121"/>
    </row>
    <row r="41" spans="1:22" s="7" customFormat="1" x14ac:dyDescent="0.25">
      <c r="A41" s="122"/>
      <c r="B41" s="7" t="s">
        <v>13</v>
      </c>
      <c r="D41" s="104">
        <v>60000</v>
      </c>
      <c r="E41" s="105"/>
      <c r="F41" s="95">
        <v>70000</v>
      </c>
      <c r="G41" s="96"/>
      <c r="H41" s="97"/>
      <c r="I41" s="98"/>
      <c r="J41" s="99"/>
      <c r="K41" s="100">
        <v>3000</v>
      </c>
      <c r="L41" s="101"/>
      <c r="M41" s="193">
        <v>6000</v>
      </c>
      <c r="N41" s="200">
        <v>6100</v>
      </c>
      <c r="O41" s="102"/>
      <c r="P41" s="103">
        <f t="shared" si="2"/>
        <v>145100</v>
      </c>
      <c r="R41" s="120"/>
      <c r="V41" s="121"/>
    </row>
    <row r="42" spans="1:22" s="7" customFormat="1" x14ac:dyDescent="0.25">
      <c r="A42" s="122"/>
      <c r="B42" s="7" t="s">
        <v>17</v>
      </c>
      <c r="D42" s="104">
        <v>10000</v>
      </c>
      <c r="E42" s="105"/>
      <c r="F42" s="95">
        <v>26000</v>
      </c>
      <c r="G42" s="96">
        <v>4391</v>
      </c>
      <c r="H42" s="97">
        <v>63140</v>
      </c>
      <c r="I42" s="98">
        <v>1500</v>
      </c>
      <c r="J42" s="99"/>
      <c r="K42" s="100">
        <v>110750</v>
      </c>
      <c r="L42" s="101">
        <v>4000</v>
      </c>
      <c r="M42" s="193">
        <v>2000</v>
      </c>
      <c r="N42" s="200">
        <v>6500</v>
      </c>
      <c r="O42" s="102"/>
      <c r="P42" s="103">
        <f t="shared" si="2"/>
        <v>228281</v>
      </c>
      <c r="R42" s="120"/>
      <c r="V42" s="121"/>
    </row>
    <row r="43" spans="1:22" s="7" customFormat="1" x14ac:dyDescent="0.25">
      <c r="A43" s="122"/>
      <c r="B43" s="7" t="s">
        <v>54</v>
      </c>
      <c r="D43" s="104">
        <v>5000</v>
      </c>
      <c r="E43" s="105">
        <v>909</v>
      </c>
      <c r="F43" s="95"/>
      <c r="G43" s="96"/>
      <c r="H43" s="97"/>
      <c r="I43" s="98"/>
      <c r="J43" s="99"/>
      <c r="K43" s="100">
        <v>8124</v>
      </c>
      <c r="L43" s="101"/>
      <c r="M43" s="193"/>
      <c r="N43" s="200"/>
      <c r="O43" s="102"/>
      <c r="P43" s="103">
        <f t="shared" si="2"/>
        <v>14033</v>
      </c>
      <c r="R43" s="120"/>
      <c r="V43" s="121"/>
    </row>
    <row r="44" spans="1:22" s="7" customFormat="1" x14ac:dyDescent="0.25">
      <c r="A44" s="122"/>
      <c r="B44" s="7" t="s">
        <v>210</v>
      </c>
      <c r="D44" s="104"/>
      <c r="E44" s="105"/>
      <c r="F44" s="95"/>
      <c r="G44" s="96">
        <v>9500</v>
      </c>
      <c r="H44" s="97"/>
      <c r="I44" s="98"/>
      <c r="J44" s="99"/>
      <c r="K44" s="100">
        <v>142000</v>
      </c>
      <c r="L44" s="101"/>
      <c r="M44" s="193"/>
      <c r="N44" s="200"/>
      <c r="O44" s="102"/>
      <c r="P44" s="103">
        <f t="shared" si="2"/>
        <v>151500</v>
      </c>
      <c r="R44" s="120"/>
      <c r="V44" s="121"/>
    </row>
    <row r="45" spans="1:22" s="7" customFormat="1" x14ac:dyDescent="0.25">
      <c r="A45" s="122"/>
      <c r="B45" s="7" t="s">
        <v>56</v>
      </c>
      <c r="D45" s="104"/>
      <c r="E45" s="105"/>
      <c r="F45" s="95"/>
      <c r="G45" s="96"/>
      <c r="H45" s="97">
        <v>3100</v>
      </c>
      <c r="I45" s="98"/>
      <c r="J45" s="99"/>
      <c r="K45" s="100"/>
      <c r="L45" s="101"/>
      <c r="M45" s="193"/>
      <c r="N45" s="200">
        <v>400</v>
      </c>
      <c r="O45" s="102">
        <v>700</v>
      </c>
      <c r="P45" s="103">
        <f t="shared" si="2"/>
        <v>4200</v>
      </c>
      <c r="R45" s="120"/>
      <c r="V45" s="121"/>
    </row>
    <row r="46" spans="1:22" s="7" customFormat="1" x14ac:dyDescent="0.25">
      <c r="A46" s="122"/>
      <c r="B46" s="7" t="s">
        <v>57</v>
      </c>
      <c r="D46" s="104"/>
      <c r="E46" s="105"/>
      <c r="F46" s="95">
        <v>35000</v>
      </c>
      <c r="G46" s="96">
        <v>106500</v>
      </c>
      <c r="H46" s="97">
        <v>75500</v>
      </c>
      <c r="I46" s="98"/>
      <c r="J46" s="99"/>
      <c r="K46" s="100">
        <v>89444</v>
      </c>
      <c r="L46" s="101"/>
      <c r="M46" s="193">
        <v>5000</v>
      </c>
      <c r="N46" s="200">
        <v>7000</v>
      </c>
      <c r="O46" s="102"/>
      <c r="P46" s="103">
        <f t="shared" si="2"/>
        <v>318444</v>
      </c>
      <c r="R46" s="120"/>
      <c r="V46" s="121"/>
    </row>
    <row r="47" spans="1:22" s="7" customFormat="1" x14ac:dyDescent="0.25">
      <c r="A47" s="122"/>
      <c r="B47" s="7" t="s">
        <v>58</v>
      </c>
      <c r="D47" s="104">
        <v>91950</v>
      </c>
      <c r="E47" s="105">
        <v>1800</v>
      </c>
      <c r="F47" s="95">
        <v>1118639</v>
      </c>
      <c r="G47" s="96">
        <v>141874</v>
      </c>
      <c r="H47" s="97">
        <v>41000</v>
      </c>
      <c r="I47" s="98">
        <v>2000</v>
      </c>
      <c r="J47" s="99">
        <v>1200</v>
      </c>
      <c r="K47" s="100">
        <v>7500</v>
      </c>
      <c r="L47" s="101">
        <v>1000</v>
      </c>
      <c r="M47" s="193">
        <v>8000</v>
      </c>
      <c r="N47" s="200">
        <v>85000</v>
      </c>
      <c r="O47" s="102">
        <v>9000</v>
      </c>
      <c r="P47" s="103">
        <f t="shared" si="2"/>
        <v>1508963</v>
      </c>
      <c r="R47" s="120"/>
      <c r="V47" s="121"/>
    </row>
    <row r="48" spans="1:22" s="7" customFormat="1" x14ac:dyDescent="0.25">
      <c r="A48" s="122"/>
      <c r="B48" s="7" t="s">
        <v>132</v>
      </c>
      <c r="D48" s="104"/>
      <c r="E48" s="105"/>
      <c r="F48" s="95"/>
      <c r="G48" s="96">
        <v>200000</v>
      </c>
      <c r="H48" s="97">
        <v>40280</v>
      </c>
      <c r="I48" s="98"/>
      <c r="J48" s="99"/>
      <c r="K48" s="100"/>
      <c r="L48" s="101"/>
      <c r="M48" s="193"/>
      <c r="N48" s="200"/>
      <c r="O48" s="102"/>
      <c r="P48" s="103">
        <f t="shared" si="2"/>
        <v>240280</v>
      </c>
      <c r="R48" s="120"/>
      <c r="V48" s="121"/>
    </row>
    <row r="49" spans="1:22" s="7" customFormat="1" x14ac:dyDescent="0.25">
      <c r="A49" s="122"/>
      <c r="B49" s="7" t="s">
        <v>96</v>
      </c>
      <c r="D49" s="104">
        <v>388220</v>
      </c>
      <c r="E49" s="105"/>
      <c r="F49" s="95">
        <f>150000+100000</f>
        <v>250000</v>
      </c>
      <c r="G49" s="96">
        <v>75604</v>
      </c>
      <c r="H49" s="97">
        <v>5000</v>
      </c>
      <c r="I49" s="98">
        <f>20000+40000</f>
        <v>60000</v>
      </c>
      <c r="J49" s="99"/>
      <c r="K49" s="100">
        <v>10000</v>
      </c>
      <c r="L49" s="101">
        <v>9000</v>
      </c>
      <c r="M49" s="193">
        <v>15000</v>
      </c>
      <c r="N49" s="200">
        <v>98000</v>
      </c>
      <c r="O49" s="102"/>
      <c r="P49" s="103">
        <f t="shared" si="2"/>
        <v>910824</v>
      </c>
      <c r="R49" s="120"/>
      <c r="V49" s="121"/>
    </row>
    <row r="50" spans="1:22" s="7" customFormat="1" x14ac:dyDescent="0.25">
      <c r="A50" s="122"/>
      <c r="B50" s="7" t="s">
        <v>60</v>
      </c>
      <c r="D50" s="104"/>
      <c r="E50" s="105"/>
      <c r="F50" s="95"/>
      <c r="G50" s="96"/>
      <c r="H50" s="97">
        <v>67395</v>
      </c>
      <c r="I50" s="98">
        <v>1000</v>
      </c>
      <c r="J50" s="99"/>
      <c r="K50" s="100"/>
      <c r="L50" s="101"/>
      <c r="M50" s="193"/>
      <c r="N50" s="200">
        <v>7500</v>
      </c>
      <c r="O50" s="102"/>
      <c r="P50" s="103">
        <f t="shared" si="2"/>
        <v>75895</v>
      </c>
      <c r="R50" s="120"/>
      <c r="V50" s="121"/>
    </row>
    <row r="51" spans="1:22" s="7" customFormat="1" x14ac:dyDescent="0.25">
      <c r="A51" s="122"/>
      <c r="B51" s="7" t="s">
        <v>282</v>
      </c>
      <c r="D51" s="104"/>
      <c r="E51" s="105"/>
      <c r="F51" s="95">
        <v>350000</v>
      </c>
      <c r="G51" s="96">
        <f>180000+27694</f>
        <v>207694</v>
      </c>
      <c r="H51" s="97">
        <v>25000</v>
      </c>
      <c r="I51" s="98">
        <v>13400</v>
      </c>
      <c r="J51" s="99"/>
      <c r="K51" s="100"/>
      <c r="L51" s="101"/>
      <c r="M51" s="193">
        <v>25000</v>
      </c>
      <c r="N51" s="200"/>
      <c r="O51" s="102">
        <v>8340</v>
      </c>
      <c r="P51" s="103">
        <f t="shared" si="2"/>
        <v>629434</v>
      </c>
      <c r="R51" s="120"/>
      <c r="V51" s="121"/>
    </row>
    <row r="52" spans="1:22" s="7" customFormat="1" x14ac:dyDescent="0.25">
      <c r="A52" s="122"/>
      <c r="B52" s="7" t="s">
        <v>61</v>
      </c>
      <c r="D52" s="104">
        <v>12000</v>
      </c>
      <c r="E52" s="105"/>
      <c r="F52" s="95">
        <v>120000</v>
      </c>
      <c r="G52" s="96"/>
      <c r="H52" s="97">
        <v>72000</v>
      </c>
      <c r="I52" s="98">
        <v>12900</v>
      </c>
      <c r="J52" s="99">
        <v>4800</v>
      </c>
      <c r="K52" s="100">
        <v>4800</v>
      </c>
      <c r="L52" s="101"/>
      <c r="M52" s="193">
        <v>7200</v>
      </c>
      <c r="N52" s="200">
        <v>15600</v>
      </c>
      <c r="O52" s="102"/>
      <c r="P52" s="103">
        <f t="shared" si="2"/>
        <v>249300</v>
      </c>
      <c r="R52" s="120"/>
      <c r="V52" s="121"/>
    </row>
    <row r="53" spans="1:22" s="7" customFormat="1" x14ac:dyDescent="0.25">
      <c r="A53" s="122"/>
      <c r="B53" s="7" t="s">
        <v>62</v>
      </c>
      <c r="D53" s="104">
        <v>30000</v>
      </c>
      <c r="E53" s="105">
        <v>1800</v>
      </c>
      <c r="F53" s="95">
        <v>21500</v>
      </c>
      <c r="G53" s="96">
        <v>7500</v>
      </c>
      <c r="H53" s="97">
        <v>20000</v>
      </c>
      <c r="I53" s="98"/>
      <c r="J53" s="99"/>
      <c r="K53" s="100"/>
      <c r="L53" s="101"/>
      <c r="M53" s="193">
        <v>10000</v>
      </c>
      <c r="N53" s="200">
        <v>1500</v>
      </c>
      <c r="O53" s="102">
        <v>6000</v>
      </c>
      <c r="P53" s="103">
        <f t="shared" si="2"/>
        <v>98300</v>
      </c>
      <c r="R53" s="120"/>
      <c r="V53" s="121"/>
    </row>
    <row r="54" spans="1:22" s="7" customFormat="1" x14ac:dyDescent="0.25">
      <c r="A54" s="122"/>
      <c r="B54" s="7" t="s">
        <v>63</v>
      </c>
      <c r="D54" s="104"/>
      <c r="E54" s="105">
        <v>65004</v>
      </c>
      <c r="F54" s="95">
        <v>92165</v>
      </c>
      <c r="G54" s="96">
        <v>15861</v>
      </c>
      <c r="H54" s="97">
        <v>5000</v>
      </c>
      <c r="I54" s="98">
        <v>14400</v>
      </c>
      <c r="J54" s="99"/>
      <c r="K54" s="100"/>
      <c r="L54" s="101"/>
      <c r="M54" s="193">
        <v>60000</v>
      </c>
      <c r="N54" s="200"/>
      <c r="O54" s="102"/>
      <c r="P54" s="103">
        <f t="shared" si="2"/>
        <v>252430</v>
      </c>
      <c r="R54" s="120"/>
      <c r="V54" s="121"/>
    </row>
    <row r="55" spans="1:22" s="7" customFormat="1" x14ac:dyDescent="0.25">
      <c r="A55" s="122"/>
      <c r="B55" s="7" t="s">
        <v>283</v>
      </c>
      <c r="D55" s="104">
        <v>60000</v>
      </c>
      <c r="E55" s="105">
        <v>6000</v>
      </c>
      <c r="F55" s="95">
        <v>199431</v>
      </c>
      <c r="G55" s="96">
        <v>156805</v>
      </c>
      <c r="H55" s="97">
        <v>6500</v>
      </c>
      <c r="I55" s="98">
        <v>20000</v>
      </c>
      <c r="J55" s="99">
        <v>800</v>
      </c>
      <c r="K55" s="100">
        <v>5000</v>
      </c>
      <c r="L55" s="101">
        <v>3385</v>
      </c>
      <c r="M55" s="193">
        <v>59000</v>
      </c>
      <c r="N55" s="200">
        <v>14000</v>
      </c>
      <c r="O55" s="102">
        <f>8730+2700</f>
        <v>11430</v>
      </c>
      <c r="P55" s="103">
        <f t="shared" si="2"/>
        <v>542351</v>
      </c>
      <c r="R55" s="120"/>
      <c r="V55" s="121"/>
    </row>
    <row r="56" spans="1:22" s="7" customFormat="1" x14ac:dyDescent="0.25">
      <c r="A56" s="122"/>
      <c r="B56" s="7" t="s">
        <v>143</v>
      </c>
      <c r="D56" s="104"/>
      <c r="E56" s="105"/>
      <c r="F56" s="95"/>
      <c r="G56" s="96">
        <v>27000</v>
      </c>
      <c r="H56" s="97"/>
      <c r="I56" s="98"/>
      <c r="J56" s="99"/>
      <c r="K56" s="100"/>
      <c r="L56" s="101"/>
      <c r="M56" s="193">
        <v>295762</v>
      </c>
      <c r="N56" s="200"/>
      <c r="O56" s="102"/>
      <c r="P56" s="103">
        <f t="shared" si="2"/>
        <v>322762</v>
      </c>
      <c r="R56" s="120"/>
      <c r="V56" s="121"/>
    </row>
    <row r="57" spans="1:22" s="7" customFormat="1" x14ac:dyDescent="0.25">
      <c r="A57" s="122"/>
      <c r="B57" s="7" t="s">
        <v>116</v>
      </c>
      <c r="D57" s="104"/>
      <c r="E57" s="105"/>
      <c r="F57" s="95"/>
      <c r="G57" s="96"/>
      <c r="H57" s="97"/>
      <c r="I57" s="98"/>
      <c r="J57" s="99"/>
      <c r="K57" s="100"/>
      <c r="L57" s="101"/>
      <c r="M57" s="193">
        <v>200000</v>
      </c>
      <c r="N57" s="200"/>
      <c r="O57" s="102"/>
      <c r="P57" s="103">
        <f t="shared" si="2"/>
        <v>200000</v>
      </c>
      <c r="R57" s="120"/>
      <c r="V57" s="121"/>
    </row>
    <row r="58" spans="1:22" s="7" customFormat="1" ht="18" customHeight="1" x14ac:dyDescent="0.25">
      <c r="A58" s="142" t="s">
        <v>27</v>
      </c>
      <c r="B58" s="26" t="s">
        <v>64</v>
      </c>
      <c r="D58" s="104"/>
      <c r="E58" s="105">
        <v>45000</v>
      </c>
      <c r="F58" s="95">
        <v>90000</v>
      </c>
      <c r="G58" s="96"/>
      <c r="H58" s="97"/>
      <c r="I58" s="98"/>
      <c r="J58" s="99"/>
      <c r="K58" s="100"/>
      <c r="L58" s="101"/>
      <c r="M58" s="193"/>
      <c r="N58" s="200"/>
      <c r="O58" s="102"/>
      <c r="P58" s="103">
        <f t="shared" si="2"/>
        <v>135000</v>
      </c>
      <c r="R58" s="120"/>
      <c r="V58" s="121"/>
    </row>
    <row r="59" spans="1:22" s="7" customFormat="1" x14ac:dyDescent="0.25">
      <c r="A59" s="141" t="s">
        <v>18</v>
      </c>
      <c r="B59" s="7" t="s">
        <v>319</v>
      </c>
      <c r="D59" s="104"/>
      <c r="E59" s="105"/>
      <c r="F59" s="95"/>
      <c r="G59" s="96">
        <v>31945</v>
      </c>
      <c r="H59" s="97">
        <v>2000</v>
      </c>
      <c r="I59" s="98"/>
      <c r="J59" s="99"/>
      <c r="K59" s="100"/>
      <c r="L59" s="101"/>
      <c r="M59" s="193">
        <v>3900</v>
      </c>
      <c r="N59" s="200"/>
      <c r="O59" s="102">
        <v>2600</v>
      </c>
      <c r="P59" s="103">
        <f t="shared" si="2"/>
        <v>40445</v>
      </c>
      <c r="R59" s="120"/>
      <c r="V59" s="121"/>
    </row>
    <row r="60" spans="1:22" s="7" customFormat="1" x14ac:dyDescent="0.25">
      <c r="A60" s="141"/>
      <c r="B60" s="7" t="s">
        <v>134</v>
      </c>
      <c r="D60" s="104"/>
      <c r="E60" s="105">
        <v>204846</v>
      </c>
      <c r="F60" s="95"/>
      <c r="G60" s="96"/>
      <c r="H60" s="97"/>
      <c r="I60" s="98"/>
      <c r="J60" s="99"/>
      <c r="K60" s="100"/>
      <c r="L60" s="101"/>
      <c r="M60" s="193"/>
      <c r="N60" s="200"/>
      <c r="O60" s="102"/>
      <c r="P60" s="103">
        <f t="shared" si="2"/>
        <v>204846</v>
      </c>
      <c r="Q60" s="123"/>
      <c r="R60" s="120"/>
      <c r="V60" s="121"/>
    </row>
    <row r="61" spans="1:22" s="7" customFormat="1" x14ac:dyDescent="0.25">
      <c r="A61" s="141"/>
      <c r="B61" s="143" t="s">
        <v>135</v>
      </c>
      <c r="D61" s="104"/>
      <c r="E61" s="105"/>
      <c r="F61" s="95"/>
      <c r="G61" s="96"/>
      <c r="H61" s="97"/>
      <c r="I61" s="98"/>
      <c r="J61" s="99"/>
      <c r="K61" s="100"/>
      <c r="L61" s="101"/>
      <c r="M61" s="193"/>
      <c r="N61" s="200"/>
      <c r="O61" s="102"/>
      <c r="P61" s="103">
        <f t="shared" si="2"/>
        <v>0</v>
      </c>
      <c r="Q61" s="123"/>
      <c r="R61" s="120"/>
      <c r="V61" s="121"/>
    </row>
    <row r="62" spans="1:22" s="7" customFormat="1" x14ac:dyDescent="0.25">
      <c r="A62" s="141"/>
      <c r="B62" s="7" t="s">
        <v>136</v>
      </c>
      <c r="D62" s="104"/>
      <c r="E62" s="105"/>
      <c r="F62" s="95">
        <f>100000+50000</f>
        <v>150000</v>
      </c>
      <c r="G62" s="96">
        <f>20000+40000</f>
        <v>60000</v>
      </c>
      <c r="H62" s="97"/>
      <c r="I62" s="98"/>
      <c r="J62" s="99"/>
      <c r="K62" s="100"/>
      <c r="L62" s="101"/>
      <c r="M62" s="193">
        <v>12000</v>
      </c>
      <c r="N62" s="200"/>
      <c r="O62" s="102">
        <v>7920</v>
      </c>
      <c r="P62" s="103">
        <f t="shared" si="2"/>
        <v>229920</v>
      </c>
      <c r="R62" s="120"/>
      <c r="V62" s="121"/>
    </row>
    <row r="63" spans="1:22" s="7" customFormat="1" x14ac:dyDescent="0.25">
      <c r="A63" s="141"/>
      <c r="B63" s="7" t="s">
        <v>137</v>
      </c>
      <c r="D63" s="104"/>
      <c r="E63" s="105"/>
      <c r="F63" s="95">
        <f>311400+45000</f>
        <v>356400</v>
      </c>
      <c r="G63" s="96"/>
      <c r="H63" s="97">
        <v>2000</v>
      </c>
      <c r="I63" s="98"/>
      <c r="J63" s="99"/>
      <c r="K63" s="100"/>
      <c r="L63" s="101"/>
      <c r="M63" s="193"/>
      <c r="N63" s="200"/>
      <c r="O63" s="102"/>
      <c r="P63" s="103">
        <f t="shared" si="2"/>
        <v>358400</v>
      </c>
      <c r="R63" s="120"/>
      <c r="V63" s="121"/>
    </row>
    <row r="64" spans="1:22" s="7" customFormat="1" x14ac:dyDescent="0.25">
      <c r="A64" s="141"/>
      <c r="B64" s="7" t="s">
        <v>138</v>
      </c>
      <c r="D64" s="104"/>
      <c r="E64" s="105"/>
      <c r="F64" s="95"/>
      <c r="G64" s="96"/>
      <c r="H64" s="97"/>
      <c r="I64" s="98"/>
      <c r="J64" s="99"/>
      <c r="K64" s="100"/>
      <c r="L64" s="101"/>
      <c r="M64" s="193"/>
      <c r="N64" s="200"/>
      <c r="O64" s="102"/>
      <c r="P64" s="103">
        <f t="shared" si="2"/>
        <v>0</v>
      </c>
      <c r="R64" s="120"/>
      <c r="V64" s="121"/>
    </row>
    <row r="65" spans="1:22" s="7" customFormat="1" x14ac:dyDescent="0.25">
      <c r="A65" s="141"/>
      <c r="B65" s="7" t="s">
        <v>139</v>
      </c>
      <c r="D65" s="104"/>
      <c r="E65" s="105"/>
      <c r="F65" s="95">
        <f>75000+100000</f>
        <v>175000</v>
      </c>
      <c r="G65" s="96">
        <f>393475+22714</f>
        <v>416189</v>
      </c>
      <c r="H65" s="97"/>
      <c r="I65" s="98"/>
      <c r="J65" s="99"/>
      <c r="K65" s="100"/>
      <c r="L65" s="101"/>
      <c r="M65" s="193">
        <v>3000</v>
      </c>
      <c r="N65" s="200"/>
      <c r="O65" s="102"/>
      <c r="P65" s="103">
        <f t="shared" si="2"/>
        <v>594189</v>
      </c>
      <c r="R65" s="120"/>
      <c r="V65" s="121"/>
    </row>
    <row r="66" spans="1:22" s="7" customFormat="1" x14ac:dyDescent="0.25">
      <c r="A66" s="141"/>
      <c r="B66" s="7" t="s">
        <v>140</v>
      </c>
      <c r="D66" s="104"/>
      <c r="E66" s="105"/>
      <c r="F66" s="95">
        <v>20000</v>
      </c>
      <c r="G66" s="96">
        <v>39457</v>
      </c>
      <c r="H66" s="97"/>
      <c r="I66" s="98"/>
      <c r="J66" s="99"/>
      <c r="K66" s="100"/>
      <c r="L66" s="101"/>
      <c r="M66" s="193">
        <v>7000</v>
      </c>
      <c r="N66" s="200"/>
      <c r="O66" s="102"/>
      <c r="P66" s="103">
        <f t="shared" si="2"/>
        <v>66457</v>
      </c>
      <c r="R66" s="120"/>
      <c r="V66" s="121"/>
    </row>
    <row r="67" spans="1:22" s="7" customFormat="1" x14ac:dyDescent="0.25">
      <c r="A67" s="141"/>
      <c r="B67" s="7" t="s">
        <v>141</v>
      </c>
      <c r="D67" s="104"/>
      <c r="E67" s="105"/>
      <c r="F67" s="95"/>
      <c r="G67" s="96">
        <f>41512+2676</f>
        <v>44188</v>
      </c>
      <c r="H67" s="97"/>
      <c r="I67" s="98"/>
      <c r="J67" s="99"/>
      <c r="K67" s="100"/>
      <c r="L67" s="101"/>
      <c r="M67" s="193">
        <v>20323</v>
      </c>
      <c r="N67" s="200"/>
      <c r="O67" s="102"/>
      <c r="P67" s="103">
        <f t="shared" si="2"/>
        <v>64511</v>
      </c>
      <c r="R67" s="120"/>
      <c r="V67" s="121"/>
    </row>
    <row r="68" spans="1:22" s="7" customFormat="1" x14ac:dyDescent="0.25">
      <c r="A68" s="141"/>
      <c r="B68" s="7" t="s">
        <v>142</v>
      </c>
      <c r="D68" s="104"/>
      <c r="E68" s="105"/>
      <c r="F68" s="95"/>
      <c r="G68" s="96"/>
      <c r="H68" s="97"/>
      <c r="I68" s="98"/>
      <c r="J68" s="99"/>
      <c r="K68" s="100">
        <v>600</v>
      </c>
      <c r="L68" s="101"/>
      <c r="M68" s="193">
        <v>500</v>
      </c>
      <c r="N68" s="200"/>
      <c r="O68" s="102"/>
      <c r="P68" s="103">
        <f t="shared" si="2"/>
        <v>1100</v>
      </c>
      <c r="R68" s="120"/>
      <c r="V68" s="121"/>
    </row>
    <row r="69" spans="1:22" s="7" customFormat="1" x14ac:dyDescent="0.25">
      <c r="A69" s="141"/>
      <c r="B69" s="7" t="s">
        <v>143</v>
      </c>
      <c r="D69" s="104"/>
      <c r="E69" s="105"/>
      <c r="F69" s="95"/>
      <c r="G69" s="96"/>
      <c r="H69" s="97">
        <v>1600</v>
      </c>
      <c r="I69" s="98"/>
      <c r="J69" s="99"/>
      <c r="K69" s="100"/>
      <c r="L69" s="101"/>
      <c r="M69" s="193"/>
      <c r="N69" s="200"/>
      <c r="O69" s="102"/>
      <c r="P69" s="103">
        <f t="shared" si="2"/>
        <v>1600</v>
      </c>
      <c r="R69" s="120"/>
      <c r="V69" s="121"/>
    </row>
    <row r="70" spans="1:22" s="7" customFormat="1" x14ac:dyDescent="0.25">
      <c r="A70" s="141"/>
      <c r="B70" s="7" t="s">
        <v>144</v>
      </c>
      <c r="D70" s="104"/>
      <c r="E70" s="105"/>
      <c r="F70" s="95"/>
      <c r="G70" s="96"/>
      <c r="H70" s="97"/>
      <c r="I70" s="98"/>
      <c r="J70" s="99"/>
      <c r="K70" s="100"/>
      <c r="L70" s="101"/>
      <c r="M70" s="193"/>
      <c r="N70" s="200"/>
      <c r="O70" s="102"/>
      <c r="P70" s="103">
        <f t="shared" si="2"/>
        <v>0</v>
      </c>
      <c r="R70" s="120"/>
      <c r="V70" s="121"/>
    </row>
    <row r="71" spans="1:22" s="7" customFormat="1" x14ac:dyDescent="0.25">
      <c r="A71" s="141"/>
      <c r="B71" s="7" t="s">
        <v>145</v>
      </c>
      <c r="D71" s="104"/>
      <c r="E71" s="105"/>
      <c r="F71" s="95"/>
      <c r="G71" s="96"/>
      <c r="H71" s="97"/>
      <c r="I71" s="98"/>
      <c r="J71" s="99"/>
      <c r="K71" s="100"/>
      <c r="L71" s="101"/>
      <c r="M71" s="193"/>
      <c r="N71" s="200"/>
      <c r="O71" s="102"/>
      <c r="P71" s="103">
        <f t="shared" si="2"/>
        <v>0</v>
      </c>
      <c r="R71" s="120"/>
      <c r="V71" s="121"/>
    </row>
    <row r="72" spans="1:22" s="7" customFormat="1" x14ac:dyDescent="0.25">
      <c r="A72" s="141"/>
      <c r="B72" s="7" t="s">
        <v>146</v>
      </c>
      <c r="D72" s="104"/>
      <c r="E72" s="105"/>
      <c r="F72" s="95"/>
      <c r="G72" s="96"/>
      <c r="H72" s="97"/>
      <c r="I72" s="98"/>
      <c r="J72" s="99"/>
      <c r="K72" s="100"/>
      <c r="L72" s="101"/>
      <c r="M72" s="193"/>
      <c r="N72" s="200"/>
      <c r="O72" s="102"/>
      <c r="P72" s="103">
        <f t="shared" si="2"/>
        <v>0</v>
      </c>
      <c r="R72" s="120"/>
      <c r="V72" s="121"/>
    </row>
    <row r="73" spans="1:22" s="7" customFormat="1" x14ac:dyDescent="0.25">
      <c r="A73" s="144">
        <v>750795</v>
      </c>
      <c r="B73" s="7" t="s">
        <v>15</v>
      </c>
      <c r="D73" s="104">
        <v>6000</v>
      </c>
      <c r="E73" s="105"/>
      <c r="F73" s="95">
        <v>725000</v>
      </c>
      <c r="G73" s="96">
        <v>76857</v>
      </c>
      <c r="H73" s="97">
        <v>16324</v>
      </c>
      <c r="I73" s="98"/>
      <c r="J73" s="99"/>
      <c r="K73" s="100"/>
      <c r="L73" s="101"/>
      <c r="M73" s="193"/>
      <c r="N73" s="200"/>
      <c r="O73" s="102"/>
      <c r="P73" s="103">
        <f t="shared" si="2"/>
        <v>824181</v>
      </c>
      <c r="R73" s="120"/>
      <c r="S73" s="124"/>
      <c r="V73" s="121"/>
    </row>
    <row r="74" spans="1:22" s="7" customFormat="1" x14ac:dyDescent="0.25">
      <c r="A74" s="122">
        <v>940</v>
      </c>
      <c r="B74" s="7" t="s">
        <v>65</v>
      </c>
      <c r="D74" s="104"/>
      <c r="E74" s="105"/>
      <c r="F74" s="95"/>
      <c r="G74" s="96"/>
      <c r="H74" s="97"/>
      <c r="I74" s="98"/>
      <c r="J74" s="99"/>
      <c r="K74" s="100"/>
      <c r="L74" s="101"/>
      <c r="M74" s="193"/>
      <c r="N74" s="200"/>
      <c r="O74" s="102"/>
      <c r="P74" s="103">
        <f t="shared" si="2"/>
        <v>0</v>
      </c>
      <c r="R74" s="120"/>
      <c r="V74" s="121"/>
    </row>
    <row r="75" spans="1:22" s="7" customFormat="1" x14ac:dyDescent="0.25">
      <c r="A75" s="122"/>
      <c r="B75" s="125" t="s">
        <v>6</v>
      </c>
      <c r="D75" s="126">
        <f t="shared" ref="D75:P75" si="3">SUM(D30:D74)</f>
        <v>2276359</v>
      </c>
      <c r="E75" s="127">
        <f t="shared" si="3"/>
        <v>457808</v>
      </c>
      <c r="F75" s="128">
        <f>SUM(F30:F74)</f>
        <v>11425915</v>
      </c>
      <c r="G75" s="129">
        <f t="shared" si="3"/>
        <v>5338548</v>
      </c>
      <c r="H75" s="130">
        <f t="shared" si="3"/>
        <v>1354483</v>
      </c>
      <c r="I75" s="131">
        <f t="shared" si="3"/>
        <v>310657</v>
      </c>
      <c r="J75" s="132">
        <f t="shared" si="3"/>
        <v>1838488</v>
      </c>
      <c r="K75" s="133">
        <f t="shared" si="3"/>
        <v>544985</v>
      </c>
      <c r="L75" s="134">
        <f t="shared" si="3"/>
        <v>107019</v>
      </c>
      <c r="M75" s="194">
        <f t="shared" si="3"/>
        <v>1318135</v>
      </c>
      <c r="N75" s="201">
        <f t="shared" si="3"/>
        <v>996690</v>
      </c>
      <c r="O75" s="135">
        <f t="shared" si="3"/>
        <v>602034</v>
      </c>
      <c r="P75" s="136">
        <f t="shared" si="3"/>
        <v>26571121</v>
      </c>
      <c r="Q75" s="123">
        <f>P75-P44</f>
        <v>26419621</v>
      </c>
      <c r="R75" s="120"/>
      <c r="V75" s="121"/>
    </row>
    <row r="76" spans="1:22" s="7" customFormat="1" x14ac:dyDescent="0.25">
      <c r="A76" s="122"/>
      <c r="D76" s="104"/>
      <c r="E76" s="105"/>
      <c r="F76" s="95"/>
      <c r="G76" s="96"/>
      <c r="H76" s="97"/>
      <c r="I76" s="98"/>
      <c r="J76" s="99"/>
      <c r="K76" s="100"/>
      <c r="L76" s="101"/>
      <c r="M76" s="193"/>
      <c r="N76" s="200"/>
      <c r="O76" s="102"/>
      <c r="P76" s="145"/>
      <c r="R76" s="120"/>
      <c r="V76" s="121"/>
    </row>
    <row r="77" spans="1:22" s="7" customFormat="1" x14ac:dyDescent="0.25">
      <c r="A77" s="122"/>
      <c r="B77" s="125" t="s">
        <v>94</v>
      </c>
      <c r="D77" s="126">
        <f t="shared" ref="D77:O77" si="4">SUM(D27-D75)</f>
        <v>982023</v>
      </c>
      <c r="E77" s="127">
        <f t="shared" si="4"/>
        <v>0</v>
      </c>
      <c r="F77" s="128">
        <f t="shared" si="4"/>
        <v>-792876</v>
      </c>
      <c r="G77" s="129">
        <f t="shared" si="4"/>
        <v>301342</v>
      </c>
      <c r="H77" s="130">
        <f t="shared" si="4"/>
        <v>868873</v>
      </c>
      <c r="I77" s="131">
        <f t="shared" si="4"/>
        <v>-258098</v>
      </c>
      <c r="J77" s="132">
        <f t="shared" si="4"/>
        <v>181144</v>
      </c>
      <c r="K77" s="133">
        <f t="shared" si="4"/>
        <v>-109987</v>
      </c>
      <c r="L77" s="134">
        <f t="shared" si="4"/>
        <v>0</v>
      </c>
      <c r="M77" s="194">
        <f t="shared" si="4"/>
        <v>0</v>
      </c>
      <c r="N77" s="201">
        <f t="shared" si="4"/>
        <v>-92152</v>
      </c>
      <c r="O77" s="135">
        <f t="shared" si="4"/>
        <v>483739</v>
      </c>
      <c r="P77" s="136">
        <f>P27-P75</f>
        <v>1564008</v>
      </c>
      <c r="R77" s="120"/>
      <c r="V77" s="121"/>
    </row>
    <row r="78" spans="1:22" s="7" customFormat="1" x14ac:dyDescent="0.25">
      <c r="A78" s="122"/>
      <c r="D78" s="104"/>
      <c r="E78" s="105"/>
      <c r="F78" s="95"/>
      <c r="G78" s="96"/>
      <c r="H78" s="97"/>
      <c r="I78" s="98"/>
      <c r="J78" s="99"/>
      <c r="K78" s="100"/>
      <c r="L78" s="101"/>
      <c r="M78" s="193"/>
      <c r="N78" s="200"/>
      <c r="O78" s="138"/>
      <c r="P78" s="139"/>
      <c r="R78" s="120"/>
      <c r="V78" s="121"/>
    </row>
    <row r="79" spans="1:22" s="7" customFormat="1" x14ac:dyDescent="0.25">
      <c r="A79" s="122"/>
      <c r="B79" s="108" t="s">
        <v>66</v>
      </c>
      <c r="D79" s="104"/>
      <c r="E79" s="105"/>
      <c r="F79" s="95"/>
      <c r="G79" s="96"/>
      <c r="H79" s="97"/>
      <c r="I79" s="98"/>
      <c r="J79" s="99"/>
      <c r="K79" s="100"/>
      <c r="L79" s="101"/>
      <c r="M79" s="193"/>
      <c r="N79" s="200"/>
      <c r="O79" s="138"/>
      <c r="P79" s="140"/>
      <c r="R79" s="120"/>
      <c r="V79" s="121"/>
    </row>
    <row r="80" spans="1:22" s="7" customFormat="1" x14ac:dyDescent="0.25">
      <c r="A80" s="122"/>
      <c r="B80" s="7" t="s">
        <v>67</v>
      </c>
      <c r="D80" s="104"/>
      <c r="E80" s="105"/>
      <c r="F80" s="95"/>
      <c r="G80" s="96"/>
      <c r="H80" s="97"/>
      <c r="I80" s="98"/>
      <c r="J80" s="99"/>
      <c r="K80" s="100">
        <v>25000</v>
      </c>
      <c r="L80" s="101"/>
      <c r="M80" s="193"/>
      <c r="N80" s="200"/>
      <c r="O80" s="176"/>
      <c r="P80" s="177">
        <f>SUM(D80:O80)</f>
        <v>25000</v>
      </c>
      <c r="R80" s="120"/>
      <c r="V80" s="121"/>
    </row>
    <row r="81" spans="1:22" s="7" customFormat="1" x14ac:dyDescent="0.25">
      <c r="A81" s="122"/>
      <c r="B81" s="7" t="s">
        <v>10</v>
      </c>
      <c r="D81" s="104"/>
      <c r="E81" s="105"/>
      <c r="F81" s="95"/>
      <c r="G81" s="96"/>
      <c r="H81" s="97"/>
      <c r="I81" s="98"/>
      <c r="J81" s="99"/>
      <c r="K81" s="100"/>
      <c r="L81" s="101"/>
      <c r="M81" s="193"/>
      <c r="N81" s="200"/>
      <c r="O81" s="176"/>
      <c r="P81" s="177">
        <f t="shared" ref="P81:P83" si="5">SUM(D81:O81)</f>
        <v>0</v>
      </c>
      <c r="Q81" s="182"/>
      <c r="R81" s="120"/>
      <c r="V81" s="121"/>
    </row>
    <row r="82" spans="1:22" s="7" customFormat="1" x14ac:dyDescent="0.25">
      <c r="A82" s="122"/>
      <c r="B82" s="7" t="s">
        <v>9</v>
      </c>
      <c r="D82" s="104"/>
      <c r="E82" s="105"/>
      <c r="F82" s="95"/>
      <c r="G82" s="96"/>
      <c r="H82" s="97"/>
      <c r="I82" s="98"/>
      <c r="J82" s="99"/>
      <c r="K82" s="100"/>
      <c r="L82" s="101"/>
      <c r="M82" s="193"/>
      <c r="N82" s="200"/>
      <c r="O82" s="176"/>
      <c r="P82" s="177">
        <f t="shared" si="5"/>
        <v>0</v>
      </c>
      <c r="R82" s="120">
        <f>P75-'5 YR FP - NATURE'!C74</f>
        <v>151500</v>
      </c>
      <c r="V82" s="121"/>
    </row>
    <row r="83" spans="1:22" s="7" customFormat="1" x14ac:dyDescent="0.25">
      <c r="A83" s="122"/>
      <c r="B83" s="7" t="s">
        <v>121</v>
      </c>
      <c r="D83" s="104"/>
      <c r="E83" s="105"/>
      <c r="F83" s="95"/>
      <c r="G83" s="96"/>
      <c r="H83" s="97"/>
      <c r="I83" s="98"/>
      <c r="J83" s="99"/>
      <c r="K83" s="100"/>
      <c r="L83" s="101"/>
      <c r="M83" s="193"/>
      <c r="N83" s="200"/>
      <c r="O83" s="176"/>
      <c r="P83" s="177">
        <f t="shared" si="5"/>
        <v>0</v>
      </c>
      <c r="R83" s="120"/>
      <c r="V83" s="121"/>
    </row>
    <row r="84" spans="1:22" s="7" customFormat="1" x14ac:dyDescent="0.25">
      <c r="A84" s="122"/>
      <c r="B84" s="7" t="s">
        <v>68</v>
      </c>
      <c r="D84" s="104"/>
      <c r="E84" s="105"/>
      <c r="F84" s="95"/>
      <c r="G84" s="96"/>
      <c r="H84" s="97"/>
      <c r="I84" s="98"/>
      <c r="J84" s="99"/>
      <c r="K84" s="100"/>
      <c r="L84" s="101"/>
      <c r="M84" s="193"/>
      <c r="N84" s="200"/>
      <c r="O84" s="176"/>
      <c r="P84" s="177">
        <f t="shared" ref="P84:P85" si="6">SUM(D84:O84)</f>
        <v>0</v>
      </c>
      <c r="R84" s="120"/>
      <c r="V84" s="121"/>
    </row>
    <row r="85" spans="1:22" s="7" customFormat="1" x14ac:dyDescent="0.25">
      <c r="A85" s="122"/>
      <c r="B85" s="7" t="s">
        <v>69</v>
      </c>
      <c r="D85" s="104"/>
      <c r="E85" s="105"/>
      <c r="F85" s="95"/>
      <c r="G85" s="96"/>
      <c r="H85" s="97"/>
      <c r="I85" s="98"/>
      <c r="J85" s="99"/>
      <c r="K85" s="100"/>
      <c r="L85" s="101"/>
      <c r="M85" s="193"/>
      <c r="N85" s="200"/>
      <c r="O85" s="176"/>
      <c r="P85" s="178">
        <f t="shared" si="6"/>
        <v>0</v>
      </c>
      <c r="R85" s="120"/>
      <c r="V85" s="121"/>
    </row>
    <row r="86" spans="1:22" s="7" customFormat="1" x14ac:dyDescent="0.25">
      <c r="A86" s="122"/>
      <c r="B86" s="125" t="s">
        <v>91</v>
      </c>
      <c r="D86" s="126">
        <f t="shared" ref="D86:J86" si="7">SUM(D80:D85)</f>
        <v>0</v>
      </c>
      <c r="E86" s="127">
        <f t="shared" si="7"/>
        <v>0</v>
      </c>
      <c r="F86" s="128">
        <f t="shared" si="7"/>
        <v>0</v>
      </c>
      <c r="G86" s="129">
        <f t="shared" si="7"/>
        <v>0</v>
      </c>
      <c r="H86" s="130">
        <f t="shared" si="7"/>
        <v>0</v>
      </c>
      <c r="I86" s="131">
        <f t="shared" si="7"/>
        <v>0</v>
      </c>
      <c r="J86" s="132">
        <f t="shared" si="7"/>
        <v>0</v>
      </c>
      <c r="K86" s="133">
        <f t="shared" ref="K86:O86" si="8">SUM(K80:K85)</f>
        <v>25000</v>
      </c>
      <c r="L86" s="134">
        <f t="shared" si="8"/>
        <v>0</v>
      </c>
      <c r="M86" s="194">
        <f t="shared" si="8"/>
        <v>0</v>
      </c>
      <c r="N86" s="201">
        <f t="shared" si="8"/>
        <v>0</v>
      </c>
      <c r="O86" s="135">
        <f t="shared" si="8"/>
        <v>0</v>
      </c>
      <c r="P86" s="136">
        <f>SUM(P80:P85)</f>
        <v>25000</v>
      </c>
      <c r="R86" s="120"/>
      <c r="V86" s="121"/>
    </row>
    <row r="87" spans="1:22" s="7" customFormat="1" x14ac:dyDescent="0.25">
      <c r="A87" s="122"/>
      <c r="B87" s="125"/>
      <c r="D87" s="146"/>
      <c r="E87" s="147"/>
      <c r="F87" s="148"/>
      <c r="G87" s="149"/>
      <c r="H87" s="150"/>
      <c r="I87" s="151"/>
      <c r="J87" s="152"/>
      <c r="K87" s="153"/>
      <c r="L87" s="154"/>
      <c r="M87" s="195"/>
      <c r="N87" s="202"/>
      <c r="O87" s="102"/>
      <c r="P87" s="155"/>
      <c r="Q87" s="123"/>
      <c r="R87" s="120"/>
      <c r="V87" s="121"/>
    </row>
    <row r="88" spans="1:22" s="7" customFormat="1" x14ac:dyDescent="0.25">
      <c r="A88" s="122"/>
      <c r="B88" s="108" t="s">
        <v>90</v>
      </c>
      <c r="D88" s="104"/>
      <c r="E88" s="105"/>
      <c r="F88" s="95"/>
      <c r="G88" s="96"/>
      <c r="H88" s="97"/>
      <c r="I88" s="98"/>
      <c r="J88" s="99"/>
      <c r="K88" s="100"/>
      <c r="L88" s="101"/>
      <c r="M88" s="193"/>
      <c r="N88" s="200"/>
      <c r="O88" s="102"/>
      <c r="P88" s="155"/>
      <c r="Q88" s="123"/>
      <c r="R88" s="120"/>
      <c r="V88" s="121"/>
    </row>
    <row r="89" spans="1:22" s="7" customFormat="1" x14ac:dyDescent="0.25">
      <c r="A89" s="122"/>
      <c r="B89" s="7" t="s">
        <v>84</v>
      </c>
      <c r="D89" s="213">
        <v>-2859</v>
      </c>
      <c r="E89" s="105"/>
      <c r="F89" s="95"/>
      <c r="G89" s="96"/>
      <c r="H89" s="97"/>
      <c r="I89" s="98"/>
      <c r="J89" s="99"/>
      <c r="K89" s="100"/>
      <c r="L89" s="101"/>
      <c r="M89" s="193"/>
      <c r="N89" s="200"/>
      <c r="O89" s="102"/>
      <c r="P89" s="156">
        <f>SUM(D89:O89)</f>
        <v>-2859</v>
      </c>
      <c r="R89" s="120"/>
      <c r="V89" s="121"/>
    </row>
    <row r="90" spans="1:22" s="7" customFormat="1" x14ac:dyDescent="0.25">
      <c r="A90" s="122"/>
      <c r="B90" s="7" t="s">
        <v>31</v>
      </c>
      <c r="D90" s="104"/>
      <c r="E90" s="105"/>
      <c r="F90" s="95"/>
      <c r="G90" s="96"/>
      <c r="H90" s="97"/>
      <c r="I90" s="98"/>
      <c r="J90" s="99"/>
      <c r="K90" s="100"/>
      <c r="L90" s="101"/>
      <c r="M90" s="193"/>
      <c r="N90" s="200"/>
      <c r="O90" s="102"/>
      <c r="P90" s="156">
        <f t="shared" ref="P90:P98" si="9">SUM(D90:O90)</f>
        <v>0</v>
      </c>
      <c r="R90" s="120"/>
      <c r="V90" s="121"/>
    </row>
    <row r="91" spans="1:22" s="7" customFormat="1" x14ac:dyDescent="0.25">
      <c r="A91" s="122"/>
      <c r="B91" s="7" t="s">
        <v>10</v>
      </c>
      <c r="D91" s="104"/>
      <c r="E91" s="105"/>
      <c r="F91" s="95"/>
      <c r="G91" s="96"/>
      <c r="H91" s="97"/>
      <c r="I91" s="98"/>
      <c r="J91" s="99"/>
      <c r="K91" s="100"/>
      <c r="L91" s="101"/>
      <c r="M91" s="193"/>
      <c r="N91" s="200"/>
      <c r="O91" s="102"/>
      <c r="P91" s="156">
        <f t="shared" si="9"/>
        <v>0</v>
      </c>
      <c r="R91" s="120"/>
      <c r="V91" s="121"/>
    </row>
    <row r="92" spans="1:22" s="7" customFormat="1" x14ac:dyDescent="0.25">
      <c r="A92" s="122"/>
      <c r="B92" s="7" t="s">
        <v>9</v>
      </c>
      <c r="D92" s="104"/>
      <c r="E92" s="105"/>
      <c r="F92" s="95"/>
      <c r="G92" s="96"/>
      <c r="H92" s="97"/>
      <c r="I92" s="98"/>
      <c r="J92" s="99"/>
      <c r="K92" s="100"/>
      <c r="L92" s="101"/>
      <c r="M92" s="193"/>
      <c r="N92" s="200"/>
      <c r="O92" s="102"/>
      <c r="P92" s="156">
        <f t="shared" si="9"/>
        <v>0</v>
      </c>
      <c r="Q92" s="24"/>
      <c r="R92" s="120"/>
      <c r="V92" s="121"/>
    </row>
    <row r="93" spans="1:22" s="7" customFormat="1" x14ac:dyDescent="0.25">
      <c r="A93" s="122"/>
      <c r="B93" s="7" t="s">
        <v>32</v>
      </c>
      <c r="D93" s="104"/>
      <c r="E93" s="105"/>
      <c r="F93" s="95"/>
      <c r="G93" s="96"/>
      <c r="H93" s="214">
        <v>-277000</v>
      </c>
      <c r="I93" s="98"/>
      <c r="J93" s="99"/>
      <c r="K93" s="100"/>
      <c r="L93" s="101"/>
      <c r="M93" s="193"/>
      <c r="N93" s="200"/>
      <c r="O93" s="102"/>
      <c r="P93" s="156">
        <f t="shared" si="9"/>
        <v>-277000</v>
      </c>
      <c r="R93" s="120"/>
      <c r="V93" s="121"/>
    </row>
    <row r="94" spans="1:22" s="7" customFormat="1" x14ac:dyDescent="0.25">
      <c r="A94" s="122"/>
      <c r="B94" s="7" t="s">
        <v>34</v>
      </c>
      <c r="D94" s="104"/>
      <c r="E94" s="105"/>
      <c r="F94" s="95"/>
      <c r="G94" s="96"/>
      <c r="H94" s="97"/>
      <c r="I94" s="98"/>
      <c r="J94" s="99"/>
      <c r="K94" s="100"/>
      <c r="L94" s="101"/>
      <c r="M94" s="193"/>
      <c r="N94" s="200"/>
      <c r="O94" s="102"/>
      <c r="P94" s="156">
        <f t="shared" si="9"/>
        <v>0</v>
      </c>
      <c r="R94" s="120"/>
      <c r="V94" s="121"/>
    </row>
    <row r="95" spans="1:22" s="7" customFormat="1" x14ac:dyDescent="0.25">
      <c r="A95" s="122"/>
      <c r="B95" s="7" t="s">
        <v>35</v>
      </c>
      <c r="D95" s="104"/>
      <c r="E95" s="105"/>
      <c r="F95" s="95"/>
      <c r="G95" s="96"/>
      <c r="H95" s="97"/>
      <c r="I95" s="98"/>
      <c r="J95" s="99"/>
      <c r="K95" s="100"/>
      <c r="L95" s="101"/>
      <c r="M95" s="193"/>
      <c r="N95" s="200"/>
      <c r="O95" s="102"/>
      <c r="P95" s="156">
        <f t="shared" si="9"/>
        <v>0</v>
      </c>
      <c r="R95" s="120"/>
      <c r="V95" s="121"/>
    </row>
    <row r="96" spans="1:22" s="7" customFormat="1" x14ac:dyDescent="0.25">
      <c r="A96" s="122"/>
      <c r="B96" s="7" t="s">
        <v>36</v>
      </c>
      <c r="D96" s="104"/>
      <c r="E96" s="105"/>
      <c r="F96" s="95"/>
      <c r="G96" s="96"/>
      <c r="H96" s="97"/>
      <c r="I96" s="98"/>
      <c r="J96" s="99"/>
      <c r="K96" s="100">
        <v>75000</v>
      </c>
      <c r="L96" s="101"/>
      <c r="M96" s="193"/>
      <c r="N96" s="200"/>
      <c r="O96" s="102"/>
      <c r="P96" s="156">
        <f t="shared" si="9"/>
        <v>75000</v>
      </c>
      <c r="R96" s="120"/>
      <c r="V96" s="121"/>
    </row>
    <row r="97" spans="1:22" s="7" customFormat="1" x14ac:dyDescent="0.25">
      <c r="A97" s="122"/>
      <c r="B97" s="7" t="s">
        <v>33</v>
      </c>
      <c r="D97" s="104"/>
      <c r="E97" s="105"/>
      <c r="F97" s="95"/>
      <c r="G97" s="96"/>
      <c r="H97" s="97"/>
      <c r="I97" s="98"/>
      <c r="J97" s="99"/>
      <c r="K97" s="100"/>
      <c r="L97" s="101"/>
      <c r="M97" s="193"/>
      <c r="N97" s="200"/>
      <c r="O97" s="102"/>
      <c r="P97" s="156">
        <f t="shared" si="9"/>
        <v>0</v>
      </c>
      <c r="R97" s="120"/>
      <c r="V97" s="121"/>
    </row>
    <row r="98" spans="1:22" s="7" customFormat="1" x14ac:dyDescent="0.25">
      <c r="A98" s="122"/>
      <c r="B98" s="7" t="s">
        <v>92</v>
      </c>
      <c r="D98" s="104"/>
      <c r="E98" s="105"/>
      <c r="F98" s="95"/>
      <c r="G98" s="96"/>
      <c r="H98" s="97"/>
      <c r="I98" s="98"/>
      <c r="J98" s="99"/>
      <c r="K98" s="100"/>
      <c r="L98" s="101"/>
      <c r="M98" s="193"/>
      <c r="N98" s="200"/>
      <c r="O98" s="102"/>
      <c r="P98" s="156">
        <f t="shared" si="9"/>
        <v>0</v>
      </c>
      <c r="Q98" s="182"/>
      <c r="R98" s="120"/>
      <c r="V98" s="121"/>
    </row>
    <row r="99" spans="1:22" s="7" customFormat="1" x14ac:dyDescent="0.25">
      <c r="A99" s="122"/>
      <c r="B99" s="125" t="s">
        <v>93</v>
      </c>
      <c r="D99" s="126">
        <f>SUM(D89:D98)</f>
        <v>-2859</v>
      </c>
      <c r="E99" s="127">
        <f t="shared" ref="E99:O99" si="10">SUM(E89:E98)</f>
        <v>0</v>
      </c>
      <c r="F99" s="128">
        <f>SUM(F89:F98)</f>
        <v>0</v>
      </c>
      <c r="G99" s="129">
        <f t="shared" si="10"/>
        <v>0</v>
      </c>
      <c r="H99" s="130">
        <f t="shared" si="10"/>
        <v>-277000</v>
      </c>
      <c r="I99" s="131">
        <f t="shared" si="10"/>
        <v>0</v>
      </c>
      <c r="J99" s="132">
        <f t="shared" si="10"/>
        <v>0</v>
      </c>
      <c r="K99" s="133">
        <f t="shared" si="10"/>
        <v>75000</v>
      </c>
      <c r="L99" s="134">
        <f t="shared" si="10"/>
        <v>0</v>
      </c>
      <c r="M99" s="194">
        <f t="shared" si="10"/>
        <v>0</v>
      </c>
      <c r="N99" s="201">
        <f t="shared" si="10"/>
        <v>0</v>
      </c>
      <c r="O99" s="135">
        <f t="shared" si="10"/>
        <v>0</v>
      </c>
      <c r="P99" s="136">
        <f>SUM(P89:P98)</f>
        <v>-204859</v>
      </c>
      <c r="Q99" s="123"/>
      <c r="R99" s="120"/>
      <c r="V99" s="121"/>
    </row>
    <row r="100" spans="1:22" s="7" customFormat="1" x14ac:dyDescent="0.25">
      <c r="A100" s="122"/>
      <c r="B100" s="125"/>
      <c r="D100" s="146"/>
      <c r="E100" s="147"/>
      <c r="F100" s="148"/>
      <c r="G100" s="149"/>
      <c r="H100" s="150"/>
      <c r="I100" s="151"/>
      <c r="J100" s="152"/>
      <c r="K100" s="153"/>
      <c r="L100" s="154"/>
      <c r="M100" s="195"/>
      <c r="N100" s="202"/>
      <c r="O100" s="102"/>
      <c r="P100" s="155"/>
      <c r="R100" s="120"/>
      <c r="V100" s="121"/>
    </row>
    <row r="101" spans="1:22" s="7" customFormat="1" x14ac:dyDescent="0.25">
      <c r="A101" s="122"/>
      <c r="B101" s="157" t="s">
        <v>7</v>
      </c>
      <c r="D101" s="158">
        <f>D77-D86+D99</f>
        <v>979164</v>
      </c>
      <c r="E101" s="159">
        <f t="shared" ref="E101:O101" si="11">E77-E86+E99</f>
        <v>0</v>
      </c>
      <c r="F101" s="218">
        <f t="shared" si="11"/>
        <v>-792876</v>
      </c>
      <c r="G101" s="217">
        <f t="shared" si="11"/>
        <v>301342</v>
      </c>
      <c r="H101" s="160">
        <f t="shared" si="11"/>
        <v>591873</v>
      </c>
      <c r="I101" s="216">
        <f t="shared" si="11"/>
        <v>-258098</v>
      </c>
      <c r="J101" s="161">
        <f t="shared" si="11"/>
        <v>181144</v>
      </c>
      <c r="K101" s="215">
        <f t="shared" si="11"/>
        <v>-59987</v>
      </c>
      <c r="L101" s="162">
        <f t="shared" si="11"/>
        <v>0</v>
      </c>
      <c r="M101" s="196">
        <f t="shared" si="11"/>
        <v>0</v>
      </c>
      <c r="N101" s="219">
        <f t="shared" si="11"/>
        <v>-92152</v>
      </c>
      <c r="O101" s="163">
        <f t="shared" si="11"/>
        <v>483739</v>
      </c>
      <c r="P101" s="164">
        <f>P77-P86+P99</f>
        <v>1334149</v>
      </c>
      <c r="R101" s="120"/>
      <c r="V101" s="121"/>
    </row>
    <row r="102" spans="1:22" s="7" customFormat="1" x14ac:dyDescent="0.25">
      <c r="A102" s="122"/>
      <c r="D102" s="165"/>
      <c r="E102" s="165"/>
      <c r="F102" s="165"/>
      <c r="G102" s="165"/>
      <c r="H102" s="165"/>
      <c r="I102" s="165"/>
      <c r="J102" s="165"/>
      <c r="K102" s="165"/>
      <c r="L102" s="165"/>
      <c r="M102" s="165"/>
      <c r="N102" s="165"/>
      <c r="O102" s="165"/>
      <c r="P102" s="166"/>
      <c r="R102" s="167"/>
      <c r="V102" s="121"/>
    </row>
    <row r="103" spans="1:22" s="172" customFormat="1" x14ac:dyDescent="0.25">
      <c r="A103" s="168"/>
      <c r="B103" s="169"/>
      <c r="C103" s="170"/>
      <c r="D103" s="170"/>
      <c r="E103" s="170"/>
      <c r="F103" s="170"/>
      <c r="G103" s="170"/>
      <c r="H103" s="170"/>
      <c r="I103" s="170"/>
      <c r="J103" s="170"/>
      <c r="K103" s="170"/>
      <c r="L103" s="170"/>
      <c r="M103" s="170"/>
      <c r="N103" s="170"/>
      <c r="O103" s="170"/>
      <c r="P103" s="171"/>
      <c r="R103" s="173"/>
      <c r="V103" s="174"/>
    </row>
    <row r="104" spans="1:22" s="64" customFormat="1" x14ac:dyDescent="0.25">
      <c r="A104" s="60"/>
      <c r="B104" s="61"/>
      <c r="C104" s="62"/>
      <c r="D104" s="62"/>
      <c r="E104" s="62"/>
      <c r="F104" s="62"/>
      <c r="G104" s="62"/>
      <c r="H104" s="62"/>
      <c r="I104" s="62"/>
      <c r="J104" s="62"/>
      <c r="K104" s="62"/>
      <c r="L104" s="62"/>
      <c r="M104" s="62"/>
      <c r="N104" s="62"/>
      <c r="O104" s="62"/>
      <c r="P104" s="63"/>
      <c r="R104" s="65"/>
      <c r="V104" s="94"/>
    </row>
    <row r="106" spans="1:22" x14ac:dyDescent="0.25">
      <c r="D106" s="106"/>
      <c r="O106" s="106"/>
    </row>
    <row r="108" spans="1:22" x14ac:dyDescent="0.25">
      <c r="F108" s="106"/>
    </row>
    <row r="109" spans="1:22" x14ac:dyDescent="0.25">
      <c r="F109" s="106"/>
    </row>
    <row r="110" spans="1:22" x14ac:dyDescent="0.25">
      <c r="O110" s="106"/>
    </row>
    <row r="114" spans="15:15" x14ac:dyDescent="0.25">
      <c r="O114" s="106"/>
    </row>
  </sheetData>
  <pageMargins left="0.70866141732283472" right="0.70866141732283472" top="0.74803149606299213" bottom="0.74803149606299213" header="0.31496062992125984" footer="0.31496062992125984"/>
  <pageSetup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C7434-A69F-4639-B2D4-2AE0D6B39D22}">
  <dimension ref="A1:L116"/>
  <sheetViews>
    <sheetView topLeftCell="A10" workbookViewId="0">
      <selection activeCell="B115" sqref="B115"/>
    </sheetView>
  </sheetViews>
  <sheetFormatPr defaultColWidth="11.42578125" defaultRowHeight="15" x14ac:dyDescent="0.25"/>
  <cols>
    <col min="1" max="1" width="66.5703125" customWidth="1"/>
    <col min="2" max="2" width="19.28515625" customWidth="1"/>
    <col min="3" max="7" width="17" customWidth="1"/>
    <col min="8" max="8" width="16.140625" customWidth="1"/>
    <col min="9" max="9" width="15" style="52" customWidth="1"/>
    <col min="10" max="10" width="16.28515625" customWidth="1"/>
  </cols>
  <sheetData>
    <row r="1" spans="1:9" ht="18.75" x14ac:dyDescent="0.3">
      <c r="A1" s="1" t="str">
        <f>'2025-26 Annual Budget'!B1</f>
        <v>LONG POINT FIRST NATION</v>
      </c>
    </row>
    <row r="2" spans="1:9" ht="18.75" x14ac:dyDescent="0.3">
      <c r="A2" s="1" t="s">
        <v>128</v>
      </c>
    </row>
    <row r="3" spans="1:9" ht="15.75" thickBot="1" x14ac:dyDescent="0.3">
      <c r="A3" s="2"/>
    </row>
    <row r="4" spans="1:9" ht="15.75" thickBot="1" x14ac:dyDescent="0.3">
      <c r="A4" t="s">
        <v>86</v>
      </c>
      <c r="E4" s="56">
        <f>'5 YR FP - NATURE'!C4</f>
        <v>0.02</v>
      </c>
    </row>
    <row r="5" spans="1:9" ht="15.75" hidden="1" thickBot="1" x14ac:dyDescent="0.3">
      <c r="A5" s="73" t="s">
        <v>106</v>
      </c>
      <c r="B5" s="73"/>
      <c r="C5" s="73"/>
      <c r="D5" s="73"/>
      <c r="E5" s="74" t="e">
        <f>#REF!-#REF!</f>
        <v>#REF!</v>
      </c>
      <c r="F5" s="73"/>
    </row>
    <row r="6" spans="1:9" hidden="1" x14ac:dyDescent="0.25">
      <c r="A6" s="73"/>
      <c r="B6" s="73"/>
      <c r="C6" s="73"/>
      <c r="D6" s="73"/>
      <c r="E6" s="73"/>
      <c r="F6" s="73"/>
    </row>
    <row r="7" spans="1:9" x14ac:dyDescent="0.25">
      <c r="A7" s="5" t="s">
        <v>129</v>
      </c>
    </row>
    <row r="9" spans="1:9" x14ac:dyDescent="0.25">
      <c r="B9" s="37" t="s">
        <v>30</v>
      </c>
      <c r="C9" s="37" t="s">
        <v>117</v>
      </c>
      <c r="D9" s="37" t="s">
        <v>147</v>
      </c>
      <c r="E9" s="37" t="s">
        <v>279</v>
      </c>
      <c r="F9" s="37" t="s">
        <v>309</v>
      </c>
    </row>
    <row r="10" spans="1:9" x14ac:dyDescent="0.25">
      <c r="A10" s="157" t="s">
        <v>328</v>
      </c>
      <c r="B10" s="180">
        <v>10352373</v>
      </c>
      <c r="C10" s="180">
        <f>B10</f>
        <v>10352373</v>
      </c>
      <c r="D10" s="180">
        <f>C10</f>
        <v>10352373</v>
      </c>
      <c r="E10" s="180">
        <f>D10</f>
        <v>10352373</v>
      </c>
      <c r="F10" s="180">
        <f>E10</f>
        <v>10352373</v>
      </c>
    </row>
    <row r="11" spans="1:9" x14ac:dyDescent="0.25">
      <c r="A11" s="2" t="s">
        <v>127</v>
      </c>
    </row>
    <row r="12" spans="1:9" x14ac:dyDescent="0.25">
      <c r="B12" s="76"/>
      <c r="C12" s="76"/>
      <c r="D12" s="76"/>
      <c r="E12" s="76"/>
      <c r="F12" s="76"/>
    </row>
    <row r="13" spans="1:9" x14ac:dyDescent="0.25">
      <c r="A13" t="s">
        <v>266</v>
      </c>
      <c r="B13" s="76">
        <f>B46</f>
        <v>0</v>
      </c>
      <c r="C13" s="76">
        <f>C46</f>
        <v>-6494</v>
      </c>
      <c r="D13" s="76">
        <f>D46</f>
        <v>4222.1199999999953</v>
      </c>
      <c r="E13" s="76">
        <f>E46</f>
        <v>15152.562400000053</v>
      </c>
      <c r="F13" s="76">
        <f>F46</f>
        <v>26301.613648000057</v>
      </c>
    </row>
    <row r="14" spans="1:9" x14ac:dyDescent="0.25">
      <c r="A14" t="s">
        <v>267</v>
      </c>
      <c r="B14" s="76">
        <f>B55</f>
        <v>1600000</v>
      </c>
      <c r="C14" s="76">
        <f>C55</f>
        <v>1632000</v>
      </c>
      <c r="D14" s="76">
        <f t="shared" ref="D14:F14" si="0">D55</f>
        <v>1664640</v>
      </c>
      <c r="E14" s="76">
        <f t="shared" si="0"/>
        <v>1697932.8</v>
      </c>
      <c r="F14" s="76">
        <f t="shared" si="0"/>
        <v>1731891.456</v>
      </c>
      <c r="I14" s="76"/>
    </row>
    <row r="15" spans="1:9" x14ac:dyDescent="0.25">
      <c r="A15" t="s">
        <v>278</v>
      </c>
      <c r="B15" s="76">
        <f>B60</f>
        <v>52559</v>
      </c>
      <c r="C15" s="76">
        <f>C60</f>
        <v>53610.18</v>
      </c>
      <c r="D15" s="76">
        <f>D60</f>
        <v>54682.383600000001</v>
      </c>
      <c r="E15" s="76">
        <f>E60</f>
        <v>55776.031272</v>
      </c>
      <c r="F15" s="76">
        <f>F60</f>
        <v>56891.551897440004</v>
      </c>
    </row>
    <row r="16" spans="1:9" x14ac:dyDescent="0.25">
      <c r="A16" t="s">
        <v>268</v>
      </c>
      <c r="B16" s="76">
        <f>B65</f>
        <v>152123</v>
      </c>
      <c r="C16" s="76">
        <f t="shared" ref="C16:F16" si="1">C65</f>
        <v>155165.46</v>
      </c>
      <c r="D16" s="76">
        <f t="shared" si="1"/>
        <v>158268.76919999998</v>
      </c>
      <c r="E16" s="76">
        <f t="shared" si="1"/>
        <v>161434.14458399999</v>
      </c>
      <c r="F16" s="76">
        <f t="shared" si="1"/>
        <v>164662.82747568001</v>
      </c>
    </row>
    <row r="17" spans="1:9" x14ac:dyDescent="0.25">
      <c r="A17" t="s">
        <v>269</v>
      </c>
      <c r="B17" s="76">
        <f>B70</f>
        <v>126937</v>
      </c>
      <c r="C17" s="76">
        <f>C70</f>
        <v>129475.74</v>
      </c>
      <c r="D17" s="76">
        <f>D70</f>
        <v>132065.2548</v>
      </c>
      <c r="E17" s="76">
        <f>E70</f>
        <v>134706.55989599999</v>
      </c>
      <c r="F17" s="76">
        <f>F70</f>
        <v>137400.69109392</v>
      </c>
    </row>
    <row r="18" spans="1:9" x14ac:dyDescent="0.25">
      <c r="A18" t="s">
        <v>277</v>
      </c>
      <c r="B18" s="76">
        <f>B82</f>
        <v>0</v>
      </c>
      <c r="C18" s="76">
        <f t="shared" ref="C18:E18" si="2">C82</f>
        <v>0</v>
      </c>
      <c r="D18" s="76">
        <f t="shared" si="2"/>
        <v>0</v>
      </c>
      <c r="E18" s="76">
        <f t="shared" si="2"/>
        <v>0</v>
      </c>
      <c r="F18" s="76">
        <f>F82</f>
        <v>0</v>
      </c>
    </row>
    <row r="19" spans="1:9" x14ac:dyDescent="0.25">
      <c r="A19" t="s">
        <v>270</v>
      </c>
      <c r="B19" s="76">
        <f>B76</f>
        <v>656087</v>
      </c>
      <c r="C19" s="76">
        <f t="shared" ref="C19:F19" si="3">C76</f>
        <v>679407.24</v>
      </c>
      <c r="D19" s="76">
        <f t="shared" si="3"/>
        <v>703193.88480000012</v>
      </c>
      <c r="E19" s="76">
        <f t="shared" si="3"/>
        <v>727456.26249600016</v>
      </c>
      <c r="F19" s="76">
        <f t="shared" si="3"/>
        <v>752203.8877459201</v>
      </c>
    </row>
    <row r="20" spans="1:9" x14ac:dyDescent="0.25">
      <c r="A20" t="s">
        <v>303</v>
      </c>
      <c r="B20" s="76">
        <f>B87</f>
        <v>7615703</v>
      </c>
      <c r="C20" s="76">
        <f>C87</f>
        <v>7768017.0599999996</v>
      </c>
      <c r="D20" s="76">
        <f t="shared" ref="D20:F20" si="4">D87</f>
        <v>7923377.4012000002</v>
      </c>
      <c r="E20" s="76">
        <f t="shared" si="4"/>
        <v>8081844.9492239989</v>
      </c>
      <c r="F20" s="76">
        <f t="shared" si="4"/>
        <v>8243481.8482084796</v>
      </c>
    </row>
    <row r="21" spans="1:9" x14ac:dyDescent="0.25">
      <c r="A21" t="s">
        <v>304</v>
      </c>
      <c r="B21" s="76">
        <f>B93</f>
        <v>232057</v>
      </c>
      <c r="C21" s="76">
        <f t="shared" ref="C21:F21" si="5">C93</f>
        <v>236698.1399999999</v>
      </c>
      <c r="D21" s="76">
        <f t="shared" si="5"/>
        <v>241432.10279999976</v>
      </c>
      <c r="E21" s="76">
        <f t="shared" si="5"/>
        <v>246260.74485599971</v>
      </c>
      <c r="F21" s="76">
        <f t="shared" si="5"/>
        <v>251185.95975311962</v>
      </c>
    </row>
    <row r="22" spans="1:9" x14ac:dyDescent="0.25">
      <c r="A22" t="s">
        <v>305</v>
      </c>
      <c r="B22" s="76">
        <f>B99</f>
        <v>277000</v>
      </c>
      <c r="C22" s="76">
        <f t="shared" ref="C22:F22" si="6">C99</f>
        <v>282540</v>
      </c>
      <c r="D22" s="76">
        <f t="shared" si="6"/>
        <v>288190.8</v>
      </c>
      <c r="E22" s="76">
        <f t="shared" si="6"/>
        <v>293954.61599999998</v>
      </c>
      <c r="F22" s="76">
        <f t="shared" si="6"/>
        <v>299833.70831999998</v>
      </c>
    </row>
    <row r="23" spans="1:9" x14ac:dyDescent="0.25">
      <c r="A23" t="s">
        <v>306</v>
      </c>
      <c r="B23" s="76">
        <f>B104</f>
        <v>616767</v>
      </c>
      <c r="C23" s="76">
        <f t="shared" ref="C23:F23" si="7">C104</f>
        <v>629102.34</v>
      </c>
      <c r="D23" s="76">
        <f t="shared" si="7"/>
        <v>641684.38679999998</v>
      </c>
      <c r="E23" s="76">
        <f t="shared" si="7"/>
        <v>654518.07453600003</v>
      </c>
      <c r="F23" s="76">
        <f t="shared" si="7"/>
        <v>667608.4360267201</v>
      </c>
    </row>
    <row r="24" spans="1:9" x14ac:dyDescent="0.25">
      <c r="A24" t="s">
        <v>307</v>
      </c>
      <c r="B24" s="76">
        <f>B109</f>
        <v>217891</v>
      </c>
      <c r="C24" s="76">
        <f t="shared" ref="C24:F24" si="8">C109</f>
        <v>222248.82</v>
      </c>
      <c r="D24" s="76">
        <f t="shared" si="8"/>
        <v>226693.79640000002</v>
      </c>
      <c r="E24" s="76">
        <f t="shared" si="8"/>
        <v>231227.67232800002</v>
      </c>
      <c r="F24" s="76">
        <f t="shared" si="8"/>
        <v>235852.22577456001</v>
      </c>
    </row>
    <row r="25" spans="1:9" x14ac:dyDescent="0.25">
      <c r="A25" t="s">
        <v>274</v>
      </c>
      <c r="B25" s="76">
        <v>0</v>
      </c>
      <c r="C25" s="187">
        <f>C10*$E$4</f>
        <v>207047.46</v>
      </c>
      <c r="D25" s="76">
        <f>D10*($E$4*2)</f>
        <v>414094.92</v>
      </c>
      <c r="E25" s="76">
        <f>E10*($E$4*3)</f>
        <v>621142.38</v>
      </c>
      <c r="F25" s="76">
        <f>F10*($E$4*4)</f>
        <v>828189.84</v>
      </c>
      <c r="I25" s="76"/>
    </row>
    <row r="26" spans="1:9" x14ac:dyDescent="0.25">
      <c r="A26" t="s">
        <v>126</v>
      </c>
      <c r="B26" s="87">
        <f>SUM(B10:B25)</f>
        <v>21899497</v>
      </c>
      <c r="C26" s="87">
        <f>SUM(C10:C25)</f>
        <v>22341191.440000001</v>
      </c>
      <c r="D26" s="87">
        <f>SUM(D10:D25)</f>
        <v>22804918.819599997</v>
      </c>
      <c r="E26" s="87">
        <f>SUM(E10:E25)</f>
        <v>23273779.797591999</v>
      </c>
      <c r="F26" s="87">
        <f>SUM(F10:F25)</f>
        <v>23747877.045943838</v>
      </c>
      <c r="I26" s="76"/>
    </row>
    <row r="28" spans="1:9" x14ac:dyDescent="0.25">
      <c r="A28" t="s">
        <v>99</v>
      </c>
      <c r="B28" s="79">
        <f>'5 YR FP - NATURE'!C9</f>
        <v>21888451</v>
      </c>
      <c r="C28" s="79">
        <f>'5 YR FP - NATURE'!D9</f>
        <v>22326220.02</v>
      </c>
      <c r="D28" s="79">
        <f>'5 YR FP - NATURE'!E9</f>
        <v>22772744.420400001</v>
      </c>
      <c r="E28" s="79">
        <f>'5 YR FP - NATURE'!F9</f>
        <v>23228199.308808003</v>
      </c>
      <c r="F28" s="79">
        <f>'5 YR FP - NATURE'!G9</f>
        <v>23692763.294984162</v>
      </c>
    </row>
    <row r="29" spans="1:9" x14ac:dyDescent="0.25">
      <c r="B29" s="79"/>
      <c r="C29" s="79"/>
      <c r="D29" s="79"/>
      <c r="E29" s="79"/>
      <c r="F29" s="79"/>
    </row>
    <row r="30" spans="1:9" hidden="1" x14ac:dyDescent="0.25">
      <c r="A30" t="s">
        <v>275</v>
      </c>
      <c r="B30" s="79"/>
      <c r="C30" s="79"/>
      <c r="D30" s="79"/>
      <c r="E30" s="79"/>
      <c r="F30" s="79"/>
    </row>
    <row r="31" spans="1:9" hidden="1" x14ac:dyDescent="0.25">
      <c r="B31" s="79"/>
      <c r="C31" s="79"/>
      <c r="D31" s="79"/>
      <c r="E31" s="79"/>
      <c r="F31" s="79"/>
    </row>
    <row r="32" spans="1:9" hidden="1" x14ac:dyDescent="0.25">
      <c r="B32" s="79"/>
      <c r="C32" s="79"/>
      <c r="D32" s="79"/>
      <c r="E32" s="79"/>
      <c r="F32" s="79"/>
    </row>
    <row r="33" spans="1:12" hidden="1" x14ac:dyDescent="0.25"/>
    <row r="34" spans="1:12" x14ac:dyDescent="0.25">
      <c r="A34" t="s">
        <v>271</v>
      </c>
      <c r="B34" s="87">
        <f>B26-B28</f>
        <v>11046</v>
      </c>
      <c r="C34" s="87">
        <f t="shared" ref="C34:F34" si="9">C26-C28</f>
        <v>14971.420000001788</v>
      </c>
      <c r="D34" s="87">
        <f t="shared" si="9"/>
        <v>32174.399199996144</v>
      </c>
      <c r="E34" s="87">
        <f t="shared" si="9"/>
        <v>45580.488783996552</v>
      </c>
      <c r="F34" s="87">
        <f t="shared" si="9"/>
        <v>55113.750959675759</v>
      </c>
    </row>
    <row r="35" spans="1:12" x14ac:dyDescent="0.25">
      <c r="B35" s="85"/>
      <c r="C35" s="85"/>
      <c r="D35" s="85"/>
      <c r="E35" s="85"/>
      <c r="F35" s="85"/>
    </row>
    <row r="36" spans="1:12" ht="15.75" thickBot="1" x14ac:dyDescent="0.3">
      <c r="C36" s="83"/>
    </row>
    <row r="37" spans="1:12" ht="15.75" customHeight="1" x14ac:dyDescent="0.25">
      <c r="A37" s="236" t="s">
        <v>329</v>
      </c>
      <c r="B37" s="237"/>
      <c r="C37" s="237"/>
      <c r="D37" s="237"/>
      <c r="E37" s="237"/>
      <c r="F37" s="238"/>
    </row>
    <row r="38" spans="1:12" ht="28.5" customHeight="1" thickBot="1" x14ac:dyDescent="0.3">
      <c r="A38" s="239"/>
      <c r="B38" s="240"/>
      <c r="C38" s="240"/>
      <c r="D38" s="240"/>
      <c r="E38" s="240"/>
      <c r="F38" s="241"/>
      <c r="G38" s="186"/>
      <c r="H38" s="186"/>
      <c r="I38" s="186"/>
      <c r="J38" s="186"/>
      <c r="K38" s="186"/>
      <c r="L38" s="186"/>
    </row>
    <row r="39" spans="1:12" ht="28.5" customHeight="1" x14ac:dyDescent="0.25">
      <c r="A39" s="236" t="s">
        <v>272</v>
      </c>
      <c r="B39" s="237"/>
      <c r="C39" s="237"/>
      <c r="D39" s="237"/>
      <c r="E39" s="237"/>
      <c r="F39" s="238"/>
      <c r="G39" s="186"/>
      <c r="H39" s="186"/>
      <c r="I39" s="186"/>
      <c r="J39" s="186"/>
      <c r="K39" s="186"/>
      <c r="L39" s="186"/>
    </row>
    <row r="40" spans="1:12" ht="14.25" customHeight="1" thickBot="1" x14ac:dyDescent="0.3">
      <c r="A40" s="239"/>
      <c r="B40" s="240"/>
      <c r="C40" s="240"/>
      <c r="D40" s="240"/>
      <c r="E40" s="240"/>
      <c r="F40" s="241"/>
    </row>
    <row r="41" spans="1:12" x14ac:dyDescent="0.25">
      <c r="A41" s="236" t="s">
        <v>273</v>
      </c>
      <c r="B41" s="237"/>
      <c r="C41" s="237"/>
      <c r="D41" s="237"/>
      <c r="E41" s="237"/>
      <c r="F41" s="238"/>
    </row>
    <row r="42" spans="1:12" ht="15.75" thickBot="1" x14ac:dyDescent="0.3">
      <c r="A42" s="239"/>
      <c r="B42" s="240"/>
      <c r="C42" s="240"/>
      <c r="D42" s="240"/>
      <c r="E42" s="240"/>
      <c r="F42" s="241"/>
    </row>
    <row r="43" spans="1:12" x14ac:dyDescent="0.25">
      <c r="A43" s="228" t="s">
        <v>284</v>
      </c>
    </row>
    <row r="44" spans="1:12" x14ac:dyDescent="0.25">
      <c r="A44" s="82" t="s">
        <v>313</v>
      </c>
      <c r="B44" s="76">
        <v>525300</v>
      </c>
      <c r="C44" s="76">
        <f>B44*1.02</f>
        <v>535806</v>
      </c>
      <c r="D44" s="81">
        <f>C44*1.02</f>
        <v>546522.12</v>
      </c>
      <c r="E44" s="81">
        <f t="shared" ref="E44:F44" si="10">D44*1.02</f>
        <v>557452.56240000005</v>
      </c>
      <c r="F44" s="81">
        <f t="shared" si="10"/>
        <v>568601.61364800006</v>
      </c>
      <c r="G44" s="181"/>
    </row>
    <row r="45" spans="1:12" x14ac:dyDescent="0.25">
      <c r="A45" s="82" t="s">
        <v>124</v>
      </c>
      <c r="B45" s="76">
        <v>525300</v>
      </c>
      <c r="C45" s="76">
        <v>542300</v>
      </c>
      <c r="D45" s="79">
        <f>C45</f>
        <v>542300</v>
      </c>
      <c r="E45" s="79">
        <f>D45</f>
        <v>542300</v>
      </c>
      <c r="F45" s="79">
        <f>E45</f>
        <v>542300</v>
      </c>
      <c r="G45" s="79"/>
    </row>
    <row r="46" spans="1:12" x14ac:dyDescent="0.25">
      <c r="A46" s="82"/>
      <c r="B46" s="207">
        <f>B44-B45</f>
        <v>0</v>
      </c>
      <c r="C46" s="207">
        <f>C44-C45</f>
        <v>-6494</v>
      </c>
      <c r="D46" s="207">
        <f t="shared" ref="D46:F46" si="11">D44-D45</f>
        <v>4222.1199999999953</v>
      </c>
      <c r="E46" s="207">
        <f t="shared" si="11"/>
        <v>15152.562400000053</v>
      </c>
      <c r="F46" s="207">
        <f t="shared" si="11"/>
        <v>26301.613648000057</v>
      </c>
      <c r="G46" s="84"/>
    </row>
    <row r="47" spans="1:12" x14ac:dyDescent="0.25">
      <c r="A47" s="82"/>
      <c r="B47" s="76"/>
    </row>
    <row r="48" spans="1:12" x14ac:dyDescent="0.25">
      <c r="A48" s="228" t="s">
        <v>285</v>
      </c>
    </row>
    <row r="49" spans="1:7" x14ac:dyDescent="0.25">
      <c r="A49" s="82" t="s">
        <v>313</v>
      </c>
      <c r="B49" s="76">
        <v>570000</v>
      </c>
      <c r="C49" s="76">
        <f>B49*1.02</f>
        <v>581400</v>
      </c>
      <c r="D49" s="83">
        <f>C49*1.02</f>
        <v>593028</v>
      </c>
      <c r="E49" s="81">
        <f t="shared" ref="E49:F50" si="12">D49*1.02</f>
        <v>604888.56000000006</v>
      </c>
      <c r="F49" s="81">
        <f t="shared" si="12"/>
        <v>616986.33120000002</v>
      </c>
    </row>
    <row r="50" spans="1:7" x14ac:dyDescent="0.25">
      <c r="A50" s="82" t="s">
        <v>124</v>
      </c>
      <c r="B50" s="76">
        <v>568653</v>
      </c>
      <c r="C50" s="76">
        <f>B50*1.02</f>
        <v>580026.06000000006</v>
      </c>
      <c r="D50" s="76">
        <f t="shared" ref="D50" si="13">C50*1.02</f>
        <v>591626.58120000002</v>
      </c>
      <c r="E50" s="76">
        <f t="shared" si="12"/>
        <v>603459.11282400007</v>
      </c>
      <c r="F50" s="76">
        <f t="shared" si="12"/>
        <v>615528.29508048005</v>
      </c>
    </row>
    <row r="51" spans="1:7" x14ac:dyDescent="0.25">
      <c r="A51" s="82"/>
      <c r="B51" s="207">
        <f>B49-B50</f>
        <v>1347</v>
      </c>
      <c r="C51" s="207">
        <f>C49-C50</f>
        <v>1373.9399999999441</v>
      </c>
      <c r="D51" s="207">
        <f t="shared" ref="D51:F51" si="14">D49-D50</f>
        <v>1401.4187999999849</v>
      </c>
      <c r="E51" s="207">
        <f t="shared" si="14"/>
        <v>1429.4471759999869</v>
      </c>
      <c r="F51" s="207">
        <f t="shared" si="14"/>
        <v>1458.0361195199657</v>
      </c>
    </row>
    <row r="52" spans="1:7" x14ac:dyDescent="0.25">
      <c r="A52" s="228" t="s">
        <v>123</v>
      </c>
      <c r="B52" s="76"/>
    </row>
    <row r="53" spans="1:7" x14ac:dyDescent="0.25">
      <c r="A53" s="82" t="s">
        <v>312</v>
      </c>
      <c r="B53" s="76">
        <v>1600000</v>
      </c>
      <c r="C53" s="81">
        <f>B53*1.02</f>
        <v>1632000</v>
      </c>
      <c r="D53" s="81">
        <f t="shared" ref="D53:F53" si="15">C53*1.02</f>
        <v>1664640</v>
      </c>
      <c r="E53" s="81">
        <f t="shared" si="15"/>
        <v>1697932.8</v>
      </c>
      <c r="F53" s="81">
        <f t="shared" si="15"/>
        <v>1731891.456</v>
      </c>
      <c r="G53" s="81"/>
    </row>
    <row r="54" spans="1:7" x14ac:dyDescent="0.25">
      <c r="A54" s="82" t="s">
        <v>124</v>
      </c>
      <c r="B54" s="76">
        <v>0</v>
      </c>
      <c r="C54" s="81">
        <f>B54*1.02</f>
        <v>0</v>
      </c>
      <c r="D54" s="79">
        <f t="shared" ref="D54:F54" si="16">C54</f>
        <v>0</v>
      </c>
      <c r="E54" s="79">
        <f t="shared" si="16"/>
        <v>0</v>
      </c>
      <c r="F54" s="79">
        <f t="shared" si="16"/>
        <v>0</v>
      </c>
      <c r="G54" s="79"/>
    </row>
    <row r="55" spans="1:7" x14ac:dyDescent="0.25">
      <c r="A55" s="82" t="s">
        <v>122</v>
      </c>
      <c r="B55" s="207">
        <f>B53-B54</f>
        <v>1600000</v>
      </c>
      <c r="C55" s="207">
        <f>C53-C54</f>
        <v>1632000</v>
      </c>
      <c r="D55" s="207">
        <f t="shared" ref="D55:F55" si="17">D53-D54</f>
        <v>1664640</v>
      </c>
      <c r="E55" s="207">
        <f t="shared" si="17"/>
        <v>1697932.8</v>
      </c>
      <c r="F55" s="207">
        <f t="shared" si="17"/>
        <v>1731891.456</v>
      </c>
      <c r="G55" s="84"/>
    </row>
    <row r="56" spans="1:7" x14ac:dyDescent="0.25">
      <c r="A56" s="82"/>
      <c r="B56" s="84"/>
      <c r="C56" s="84"/>
      <c r="D56" s="84"/>
      <c r="E56" s="84"/>
      <c r="F56" s="84"/>
      <c r="G56" s="84"/>
    </row>
    <row r="57" spans="1:7" x14ac:dyDescent="0.25">
      <c r="A57" s="228" t="s">
        <v>263</v>
      </c>
    </row>
    <row r="58" spans="1:7" x14ac:dyDescent="0.25">
      <c r="A58" s="82" t="s">
        <v>312</v>
      </c>
      <c r="B58" s="76">
        <v>52559</v>
      </c>
      <c r="C58" s="81">
        <f>B58*1.02</f>
        <v>53610.18</v>
      </c>
      <c r="D58" s="81">
        <f t="shared" ref="D58:F58" si="18">C58*1.02</f>
        <v>54682.383600000001</v>
      </c>
      <c r="E58" s="81">
        <f t="shared" si="18"/>
        <v>55776.031272</v>
      </c>
      <c r="F58" s="81">
        <f t="shared" si="18"/>
        <v>56891.551897440004</v>
      </c>
      <c r="G58" s="81"/>
    </row>
    <row r="59" spans="1:7" x14ac:dyDescent="0.25">
      <c r="A59" s="82" t="s">
        <v>124</v>
      </c>
      <c r="B59" s="79">
        <v>0</v>
      </c>
      <c r="C59" s="206">
        <v>0</v>
      </c>
      <c r="D59" s="206">
        <v>0</v>
      </c>
      <c r="E59" s="206">
        <v>0</v>
      </c>
      <c r="F59" s="206">
        <v>0</v>
      </c>
    </row>
    <row r="60" spans="1:7" x14ac:dyDescent="0.25">
      <c r="A60" s="82"/>
      <c r="B60" s="207">
        <f>B58-B59</f>
        <v>52559</v>
      </c>
      <c r="C60" s="207">
        <f>C58-C59</f>
        <v>53610.18</v>
      </c>
      <c r="D60" s="207">
        <f t="shared" ref="D60:F60" si="19">D58-D59</f>
        <v>54682.383600000001</v>
      </c>
      <c r="E60" s="207">
        <f t="shared" si="19"/>
        <v>55776.031272</v>
      </c>
      <c r="F60" s="207">
        <f t="shared" si="19"/>
        <v>56891.551897440004</v>
      </c>
      <c r="G60" s="84"/>
    </row>
    <row r="61" spans="1:7" x14ac:dyDescent="0.25">
      <c r="A61" s="82"/>
    </row>
    <row r="62" spans="1:7" x14ac:dyDescent="0.25">
      <c r="A62" s="228" t="s">
        <v>264</v>
      </c>
    </row>
    <row r="63" spans="1:7" x14ac:dyDescent="0.25">
      <c r="A63" s="82" t="s">
        <v>312</v>
      </c>
      <c r="B63" s="206">
        <v>152123</v>
      </c>
      <c r="C63" s="206">
        <f>B63*1.02</f>
        <v>155165.46</v>
      </c>
      <c r="D63" s="206">
        <f t="shared" ref="D63:F63" si="20">C63*1.02</f>
        <v>158268.76919999998</v>
      </c>
      <c r="E63" s="206">
        <f t="shared" si="20"/>
        <v>161434.14458399999</v>
      </c>
      <c r="F63" s="206">
        <f t="shared" si="20"/>
        <v>164662.82747568001</v>
      </c>
    </row>
    <row r="64" spans="1:7" x14ac:dyDescent="0.25">
      <c r="A64" s="82" t="s">
        <v>124</v>
      </c>
      <c r="B64" s="206">
        <v>0</v>
      </c>
      <c r="C64" s="206">
        <f>B64</f>
        <v>0</v>
      </c>
      <c r="D64" s="206">
        <f t="shared" ref="D64:F64" si="21">C64</f>
        <v>0</v>
      </c>
      <c r="E64" s="206">
        <f t="shared" si="21"/>
        <v>0</v>
      </c>
      <c r="F64" s="206">
        <f t="shared" si="21"/>
        <v>0</v>
      </c>
    </row>
    <row r="65" spans="1:7" x14ac:dyDescent="0.25">
      <c r="A65" s="82"/>
      <c r="B65" s="229">
        <f>B63-B64</f>
        <v>152123</v>
      </c>
      <c r="C65" s="229">
        <f>C63-C64</f>
        <v>155165.46</v>
      </c>
      <c r="D65" s="229">
        <f t="shared" ref="D65:F65" si="22">D63-D64</f>
        <v>158268.76919999998</v>
      </c>
      <c r="E65" s="229">
        <f t="shared" si="22"/>
        <v>161434.14458399999</v>
      </c>
      <c r="F65" s="229">
        <f t="shared" si="22"/>
        <v>164662.82747568001</v>
      </c>
      <c r="G65" s="84"/>
    </row>
    <row r="67" spans="1:7" x14ac:dyDescent="0.25">
      <c r="A67" s="228" t="s">
        <v>125</v>
      </c>
    </row>
    <row r="68" spans="1:7" x14ac:dyDescent="0.25">
      <c r="A68" s="82" t="s">
        <v>312</v>
      </c>
      <c r="B68" s="76">
        <v>126937</v>
      </c>
      <c r="C68" s="81">
        <f>B68*1.02</f>
        <v>129475.74</v>
      </c>
      <c r="D68" s="81">
        <f t="shared" ref="D68:F68" si="23">C68*1.02</f>
        <v>132065.2548</v>
      </c>
      <c r="E68" s="81">
        <f t="shared" si="23"/>
        <v>134706.55989599999</v>
      </c>
      <c r="F68" s="81">
        <f t="shared" si="23"/>
        <v>137400.69109392</v>
      </c>
      <c r="G68" s="81"/>
    </row>
    <row r="69" spans="1:7" x14ac:dyDescent="0.25">
      <c r="A69" s="82" t="s">
        <v>124</v>
      </c>
      <c r="B69" s="76">
        <v>0</v>
      </c>
      <c r="C69" s="79">
        <f>B69</f>
        <v>0</v>
      </c>
      <c r="D69" s="79">
        <f t="shared" ref="D69:F69" si="24">C69</f>
        <v>0</v>
      </c>
      <c r="E69" s="79">
        <f t="shared" si="24"/>
        <v>0</v>
      </c>
      <c r="F69" s="79">
        <f t="shared" si="24"/>
        <v>0</v>
      </c>
      <c r="G69" s="79"/>
    </row>
    <row r="70" spans="1:7" x14ac:dyDescent="0.25">
      <c r="A70" s="82"/>
      <c r="B70" s="207">
        <f>B68-B69</f>
        <v>126937</v>
      </c>
      <c r="C70" s="207">
        <f>C68-C69</f>
        <v>129475.74</v>
      </c>
      <c r="D70" s="207">
        <f t="shared" ref="D70:F70" si="25">D68-D69</f>
        <v>132065.2548</v>
      </c>
      <c r="E70" s="207">
        <f t="shared" si="25"/>
        <v>134706.55989599999</v>
      </c>
      <c r="F70" s="207">
        <f t="shared" si="25"/>
        <v>137400.69109392</v>
      </c>
      <c r="G70" s="84"/>
    </row>
    <row r="71" spans="1:7" x14ac:dyDescent="0.25">
      <c r="A71" s="82"/>
      <c r="B71" s="84"/>
      <c r="C71" s="84"/>
      <c r="D71" s="84"/>
      <c r="E71" s="84"/>
      <c r="F71" s="84"/>
      <c r="G71" s="84"/>
    </row>
    <row r="72" spans="1:7" x14ac:dyDescent="0.25">
      <c r="A72" s="228"/>
      <c r="B72" s="84"/>
      <c r="C72" s="84"/>
      <c r="D72" s="84"/>
      <c r="E72" s="84"/>
      <c r="F72" s="84"/>
      <c r="G72" s="84"/>
    </row>
    <row r="73" spans="1:7" x14ac:dyDescent="0.25">
      <c r="A73" s="228" t="s">
        <v>149</v>
      </c>
      <c r="B73" s="84"/>
      <c r="C73" s="84"/>
      <c r="D73" s="84"/>
      <c r="E73" s="84"/>
      <c r="F73" s="84"/>
      <c r="G73" s="84"/>
    </row>
    <row r="74" spans="1:7" x14ac:dyDescent="0.25">
      <c r="A74" s="82" t="s">
        <v>312</v>
      </c>
      <c r="B74" s="206">
        <v>1166012</v>
      </c>
      <c r="C74" s="220">
        <f>B74*1.02</f>
        <v>1189332.24</v>
      </c>
      <c r="D74" s="220">
        <f t="shared" ref="D74:F74" si="26">C74*1.02</f>
        <v>1213118.8848000001</v>
      </c>
      <c r="E74" s="220">
        <f t="shared" si="26"/>
        <v>1237381.2624960002</v>
      </c>
      <c r="F74" s="220">
        <f t="shared" si="26"/>
        <v>1262128.8877459201</v>
      </c>
      <c r="G74" s="81"/>
    </row>
    <row r="75" spans="1:7" x14ac:dyDescent="0.25">
      <c r="A75" s="82" t="s">
        <v>124</v>
      </c>
      <c r="B75" s="76">
        <v>509925</v>
      </c>
      <c r="C75" s="79">
        <f>B75</f>
        <v>509925</v>
      </c>
      <c r="D75" s="79">
        <f t="shared" ref="D75:F75" si="27">C75</f>
        <v>509925</v>
      </c>
      <c r="E75" s="79">
        <f t="shared" si="27"/>
        <v>509925</v>
      </c>
      <c r="F75" s="79">
        <f t="shared" si="27"/>
        <v>509925</v>
      </c>
      <c r="G75" s="84"/>
    </row>
    <row r="76" spans="1:7" x14ac:dyDescent="0.25">
      <c r="A76" s="82"/>
      <c r="B76" s="207">
        <f>B74-B75</f>
        <v>656087</v>
      </c>
      <c r="C76" s="207">
        <f>C74-C75</f>
        <v>679407.24</v>
      </c>
      <c r="D76" s="207">
        <f t="shared" ref="D76:F76" si="28">D74-D75</f>
        <v>703193.88480000012</v>
      </c>
      <c r="E76" s="207">
        <f t="shared" si="28"/>
        <v>727456.26249600016</v>
      </c>
      <c r="F76" s="207">
        <f t="shared" si="28"/>
        <v>752203.8877459201</v>
      </c>
      <c r="G76" s="84"/>
    </row>
    <row r="77" spans="1:7" x14ac:dyDescent="0.25">
      <c r="A77" s="82"/>
      <c r="B77" s="84"/>
      <c r="C77" s="84"/>
      <c r="D77" s="84"/>
      <c r="E77" s="84"/>
      <c r="F77" s="84"/>
      <c r="G77" s="84"/>
    </row>
    <row r="79" spans="1:7" x14ac:dyDescent="0.25">
      <c r="A79" s="228" t="s">
        <v>286</v>
      </c>
      <c r="B79" s="79"/>
      <c r="C79" s="79"/>
    </row>
    <row r="80" spans="1:7" x14ac:dyDescent="0.25">
      <c r="A80" s="82" t="s">
        <v>312</v>
      </c>
      <c r="B80" s="206">
        <v>329196</v>
      </c>
      <c r="C80" s="220">
        <f>B80*1.02</f>
        <v>335779.92</v>
      </c>
      <c r="D80" s="220">
        <f t="shared" ref="D80:F81" si="29">C80*1.02</f>
        <v>342495.5184</v>
      </c>
      <c r="E80" s="220">
        <f t="shared" si="29"/>
        <v>349345.42876799998</v>
      </c>
      <c r="F80" s="220">
        <f t="shared" si="29"/>
        <v>356332.33734336001</v>
      </c>
      <c r="G80" s="81" t="s">
        <v>276</v>
      </c>
    </row>
    <row r="81" spans="1:9" x14ac:dyDescent="0.25">
      <c r="A81" s="82" t="s">
        <v>124</v>
      </c>
      <c r="B81" s="206">
        <v>329196</v>
      </c>
      <c r="C81" s="220">
        <f>B81*1.02</f>
        <v>335779.92</v>
      </c>
      <c r="D81" s="220">
        <f t="shared" si="29"/>
        <v>342495.5184</v>
      </c>
      <c r="E81" s="220">
        <f t="shared" si="29"/>
        <v>349345.42876799998</v>
      </c>
      <c r="F81" s="220">
        <f t="shared" si="29"/>
        <v>356332.33734336001</v>
      </c>
    </row>
    <row r="82" spans="1:9" x14ac:dyDescent="0.25">
      <c r="B82" s="207">
        <f>B80-B81</f>
        <v>0</v>
      </c>
      <c r="C82" s="207">
        <f>C80-C81</f>
        <v>0</v>
      </c>
      <c r="D82" s="207">
        <f t="shared" ref="D82:F82" si="30">D80-D81</f>
        <v>0</v>
      </c>
      <c r="E82" s="207">
        <f t="shared" si="30"/>
        <v>0</v>
      </c>
      <c r="F82" s="207">
        <f t="shared" si="30"/>
        <v>0</v>
      </c>
    </row>
    <row r="83" spans="1:9" x14ac:dyDescent="0.25">
      <c r="I83" s="86"/>
    </row>
    <row r="84" spans="1:9" x14ac:dyDescent="0.25">
      <c r="A84" s="228" t="s">
        <v>287</v>
      </c>
      <c r="B84" s="79"/>
      <c r="C84" s="79"/>
      <c r="I84" s="86"/>
    </row>
    <row r="85" spans="1:9" x14ac:dyDescent="0.25">
      <c r="A85" s="82" t="s">
        <v>312</v>
      </c>
      <c r="B85" s="206">
        <v>10057647</v>
      </c>
      <c r="C85" s="220">
        <f>B85*1.02</f>
        <v>10258799.939999999</v>
      </c>
      <c r="D85" s="220">
        <f t="shared" ref="D85:F86" si="31">C85*1.02</f>
        <v>10463975.9388</v>
      </c>
      <c r="E85" s="220">
        <f t="shared" si="31"/>
        <v>10673255.457575999</v>
      </c>
      <c r="F85" s="220">
        <f t="shared" si="31"/>
        <v>10886720.566727519</v>
      </c>
      <c r="I85" s="86"/>
    </row>
    <row r="86" spans="1:9" x14ac:dyDescent="0.25">
      <c r="A86" s="82" t="s">
        <v>124</v>
      </c>
      <c r="B86" s="206">
        <v>2441944</v>
      </c>
      <c r="C86" s="220">
        <f>B86*1.02</f>
        <v>2490782.88</v>
      </c>
      <c r="D86" s="220">
        <f t="shared" si="31"/>
        <v>2540598.5375999999</v>
      </c>
      <c r="E86" s="220">
        <f t="shared" si="31"/>
        <v>2591410.5083519998</v>
      </c>
      <c r="F86" s="220">
        <f t="shared" si="31"/>
        <v>2643238.7185190399</v>
      </c>
      <c r="I86" s="86"/>
    </row>
    <row r="87" spans="1:9" x14ac:dyDescent="0.25">
      <c r="B87" s="207">
        <f>B85-B86</f>
        <v>7615703</v>
      </c>
      <c r="C87" s="207">
        <f>C85-C86</f>
        <v>7768017.0599999996</v>
      </c>
      <c r="D87" s="207">
        <f t="shared" ref="D87:F87" si="32">D85-D86</f>
        <v>7923377.4012000002</v>
      </c>
      <c r="E87" s="207">
        <f t="shared" si="32"/>
        <v>8081844.9492239989</v>
      </c>
      <c r="F87" s="207">
        <f t="shared" si="32"/>
        <v>8243481.8482084796</v>
      </c>
      <c r="I87" s="86"/>
    </row>
    <row r="88" spans="1:9" x14ac:dyDescent="0.25">
      <c r="I88" s="86"/>
    </row>
    <row r="89" spans="1:9" x14ac:dyDescent="0.25">
      <c r="B89" s="79"/>
      <c r="I89" s="86"/>
    </row>
    <row r="90" spans="1:9" x14ac:dyDescent="0.25">
      <c r="A90" s="228" t="s">
        <v>299</v>
      </c>
      <c r="B90" s="79"/>
      <c r="C90" s="79"/>
      <c r="I90" s="86"/>
    </row>
    <row r="91" spans="1:9" x14ac:dyDescent="0.25">
      <c r="A91" s="82" t="s">
        <v>312</v>
      </c>
      <c r="B91" s="206">
        <v>1565202</v>
      </c>
      <c r="C91" s="220">
        <f>B91*1.02</f>
        <v>1596506.04</v>
      </c>
      <c r="D91" s="220">
        <f t="shared" ref="D91:F92" si="33">C91*1.02</f>
        <v>1628436.1608</v>
      </c>
      <c r="E91" s="220">
        <f t="shared" si="33"/>
        <v>1661004.884016</v>
      </c>
      <c r="F91" s="220">
        <f t="shared" si="33"/>
        <v>1694224.98169632</v>
      </c>
      <c r="I91" s="86"/>
    </row>
    <row r="92" spans="1:9" x14ac:dyDescent="0.25">
      <c r="A92" s="82" t="s">
        <v>124</v>
      </c>
      <c r="B92" s="206">
        <v>1333145</v>
      </c>
      <c r="C92" s="220">
        <f>B92*1.02</f>
        <v>1359807.9000000001</v>
      </c>
      <c r="D92" s="220">
        <f t="shared" si="33"/>
        <v>1387004.0580000002</v>
      </c>
      <c r="E92" s="220">
        <f t="shared" si="33"/>
        <v>1414744.1391600003</v>
      </c>
      <c r="F92" s="220">
        <f t="shared" si="33"/>
        <v>1443039.0219432004</v>
      </c>
      <c r="I92" s="86"/>
    </row>
    <row r="93" spans="1:9" x14ac:dyDescent="0.25">
      <c r="B93" s="207">
        <f>B91-B92</f>
        <v>232057</v>
      </c>
      <c r="C93" s="207">
        <f>C91-C92</f>
        <v>236698.1399999999</v>
      </c>
      <c r="D93" s="207">
        <f t="shared" ref="D93:F93" si="34">D91-D92</f>
        <v>241432.10279999976</v>
      </c>
      <c r="E93" s="207">
        <f t="shared" si="34"/>
        <v>246260.74485599971</v>
      </c>
      <c r="F93" s="207">
        <f t="shared" si="34"/>
        <v>251185.95975311962</v>
      </c>
      <c r="I93" s="86"/>
    </row>
    <row r="94" spans="1:9" x14ac:dyDescent="0.25">
      <c r="I94" s="86"/>
    </row>
    <row r="95" spans="1:9" x14ac:dyDescent="0.25">
      <c r="H95" s="82"/>
      <c r="I95" s="86"/>
    </row>
    <row r="96" spans="1:9" x14ac:dyDescent="0.25">
      <c r="A96" s="228" t="s">
        <v>300</v>
      </c>
      <c r="B96" s="79"/>
      <c r="C96" s="79"/>
      <c r="H96" s="82"/>
      <c r="I96" s="86"/>
    </row>
    <row r="97" spans="1:8" x14ac:dyDescent="0.25">
      <c r="A97" s="82" t="s">
        <v>312</v>
      </c>
      <c r="B97" s="76">
        <v>277000</v>
      </c>
      <c r="C97" s="220">
        <f>B97*1.02</f>
        <v>282540</v>
      </c>
      <c r="D97" s="220">
        <f t="shared" ref="D97:F98" si="35">C97*1.02</f>
        <v>288190.8</v>
      </c>
      <c r="E97" s="220">
        <f t="shared" si="35"/>
        <v>293954.61599999998</v>
      </c>
      <c r="F97" s="220">
        <f t="shared" si="35"/>
        <v>299833.70831999998</v>
      </c>
      <c r="H97" s="82"/>
    </row>
    <row r="98" spans="1:8" x14ac:dyDescent="0.25">
      <c r="A98" s="82" t="s">
        <v>124</v>
      </c>
      <c r="B98" s="206">
        <v>0</v>
      </c>
      <c r="C98" s="220">
        <f>B98*1.02</f>
        <v>0</v>
      </c>
      <c r="D98" s="220">
        <f t="shared" si="35"/>
        <v>0</v>
      </c>
      <c r="E98" s="220">
        <f t="shared" si="35"/>
        <v>0</v>
      </c>
      <c r="F98" s="220">
        <f t="shared" si="35"/>
        <v>0</v>
      </c>
      <c r="H98" s="82"/>
    </row>
    <row r="99" spans="1:8" x14ac:dyDescent="0.25">
      <c r="B99" s="207">
        <f>B97-B98</f>
        <v>277000</v>
      </c>
      <c r="C99" s="207">
        <f>C97-C98</f>
        <v>282540</v>
      </c>
      <c r="D99" s="207">
        <f t="shared" ref="D99:F99" si="36">D97-D98</f>
        <v>288190.8</v>
      </c>
      <c r="E99" s="207">
        <f t="shared" si="36"/>
        <v>293954.61599999998</v>
      </c>
      <c r="F99" s="207">
        <f t="shared" si="36"/>
        <v>299833.70831999998</v>
      </c>
      <c r="H99" s="82"/>
    </row>
    <row r="101" spans="1:8" x14ac:dyDescent="0.25">
      <c r="A101" s="228" t="s">
        <v>301</v>
      </c>
      <c r="B101" s="79"/>
      <c r="C101" s="79"/>
    </row>
    <row r="102" spans="1:8" x14ac:dyDescent="0.25">
      <c r="A102" s="82" t="s">
        <v>312</v>
      </c>
      <c r="B102" s="76">
        <v>616767</v>
      </c>
      <c r="C102" s="220">
        <f>B102*1.02</f>
        <v>629102.34</v>
      </c>
      <c r="D102" s="220">
        <f t="shared" ref="D102:F103" si="37">C102*1.02</f>
        <v>641684.38679999998</v>
      </c>
      <c r="E102" s="220">
        <f t="shared" si="37"/>
        <v>654518.07453600003</v>
      </c>
      <c r="F102" s="220">
        <f t="shared" si="37"/>
        <v>667608.4360267201</v>
      </c>
    </row>
    <row r="103" spans="1:8" x14ac:dyDescent="0.25">
      <c r="A103" s="82" t="s">
        <v>124</v>
      </c>
      <c r="B103" s="206">
        <v>0</v>
      </c>
      <c r="C103" s="220">
        <f>B103*1.02</f>
        <v>0</v>
      </c>
      <c r="D103" s="220">
        <f t="shared" si="37"/>
        <v>0</v>
      </c>
      <c r="E103" s="220">
        <f t="shared" si="37"/>
        <v>0</v>
      </c>
      <c r="F103" s="220">
        <f t="shared" si="37"/>
        <v>0</v>
      </c>
    </row>
    <row r="104" spans="1:8" x14ac:dyDescent="0.25">
      <c r="B104" s="207">
        <f>B102-B103</f>
        <v>616767</v>
      </c>
      <c r="C104" s="207">
        <f>C102-C103</f>
        <v>629102.34</v>
      </c>
      <c r="D104" s="207">
        <f t="shared" ref="D104:F104" si="38">D102-D103</f>
        <v>641684.38679999998</v>
      </c>
      <c r="E104" s="207">
        <f t="shared" si="38"/>
        <v>654518.07453600003</v>
      </c>
      <c r="F104" s="207">
        <f t="shared" si="38"/>
        <v>667608.4360267201</v>
      </c>
    </row>
    <row r="106" spans="1:8" x14ac:dyDescent="0.25">
      <c r="A106" s="228" t="s">
        <v>302</v>
      </c>
      <c r="B106" s="79"/>
      <c r="C106" s="79"/>
    </row>
    <row r="107" spans="1:8" x14ac:dyDescent="0.25">
      <c r="A107" s="82" t="s">
        <v>312</v>
      </c>
      <c r="B107" s="76">
        <v>217891</v>
      </c>
      <c r="C107" s="220">
        <f>B107*1.02</f>
        <v>222248.82</v>
      </c>
      <c r="D107" s="220">
        <f t="shared" ref="D107:F108" si="39">C107*1.02</f>
        <v>226693.79640000002</v>
      </c>
      <c r="E107" s="220">
        <f t="shared" si="39"/>
        <v>231227.67232800002</v>
      </c>
      <c r="F107" s="220">
        <f t="shared" si="39"/>
        <v>235852.22577456001</v>
      </c>
    </row>
    <row r="108" spans="1:8" x14ac:dyDescent="0.25">
      <c r="A108" s="82" t="s">
        <v>124</v>
      </c>
      <c r="B108" s="206">
        <v>0</v>
      </c>
      <c r="C108" s="220">
        <f>B108*1.02</f>
        <v>0</v>
      </c>
      <c r="D108" s="220">
        <f t="shared" si="39"/>
        <v>0</v>
      </c>
      <c r="E108" s="220">
        <f t="shared" si="39"/>
        <v>0</v>
      </c>
      <c r="F108" s="220">
        <f t="shared" si="39"/>
        <v>0</v>
      </c>
    </row>
    <row r="109" spans="1:8" x14ac:dyDescent="0.25">
      <c r="B109" s="207">
        <f>B107-B108</f>
        <v>217891</v>
      </c>
      <c r="C109" s="80">
        <f>C107-C108</f>
        <v>222248.82</v>
      </c>
      <c r="D109" s="80">
        <f t="shared" ref="D109:F109" si="40">D107-D108</f>
        <v>226693.79640000002</v>
      </c>
      <c r="E109" s="80">
        <f t="shared" si="40"/>
        <v>231227.67232800002</v>
      </c>
      <c r="F109" s="80">
        <f t="shared" si="40"/>
        <v>235852.22577456001</v>
      </c>
    </row>
    <row r="114" spans="2:2" x14ac:dyDescent="0.25">
      <c r="B114" s="81"/>
    </row>
    <row r="115" spans="2:2" x14ac:dyDescent="0.25">
      <c r="B115" s="81"/>
    </row>
    <row r="116" spans="2:2" x14ac:dyDescent="0.25">
      <c r="B116" s="81"/>
    </row>
  </sheetData>
  <mergeCells count="3">
    <mergeCell ref="A37:F38"/>
    <mergeCell ref="A39:F40"/>
    <mergeCell ref="A41:F4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59AE-7352-43D1-92EA-BC333A4F6EF2}">
  <dimension ref="A1:F11"/>
  <sheetViews>
    <sheetView workbookViewId="0">
      <selection activeCell="A7" sqref="A7:F8"/>
    </sheetView>
  </sheetViews>
  <sheetFormatPr defaultColWidth="11.42578125" defaultRowHeight="15" x14ac:dyDescent="0.25"/>
  <cols>
    <col min="5" max="5" width="30.5703125" customWidth="1"/>
    <col min="6" max="6" width="16.28515625" bestFit="1" customWidth="1"/>
  </cols>
  <sheetData>
    <row r="1" spans="1:6" ht="18.75" x14ac:dyDescent="0.3">
      <c r="A1" s="1" t="str">
        <f>'2025-26 Annual Budget'!B1</f>
        <v>LONG POINT FIRST NATION</v>
      </c>
    </row>
    <row r="2" spans="1:6" ht="18.75" x14ac:dyDescent="0.3">
      <c r="A2" s="1" t="s">
        <v>100</v>
      </c>
    </row>
    <row r="4" spans="1:6" ht="15.75" thickBot="1" x14ac:dyDescent="0.3">
      <c r="A4" s="5" t="s">
        <v>102</v>
      </c>
    </row>
    <row r="5" spans="1:6" ht="15.75" thickBot="1" x14ac:dyDescent="0.3">
      <c r="A5" t="s">
        <v>314</v>
      </c>
      <c r="F5" s="75">
        <v>20098535</v>
      </c>
    </row>
    <row r="6" spans="1:6" x14ac:dyDescent="0.25">
      <c r="F6" s="76"/>
    </row>
    <row r="7" spans="1:6" x14ac:dyDescent="0.25">
      <c r="A7" s="242" t="s">
        <v>315</v>
      </c>
      <c r="B7" s="242"/>
      <c r="C7" s="242"/>
      <c r="D7" s="242"/>
      <c r="E7" s="242"/>
      <c r="F7" s="242"/>
    </row>
    <row r="8" spans="1:6" ht="28.5" customHeight="1" x14ac:dyDescent="0.25">
      <c r="A8" s="242"/>
      <c r="B8" s="242"/>
      <c r="C8" s="242"/>
      <c r="D8" s="242"/>
      <c r="E8" s="242"/>
      <c r="F8" s="242"/>
    </row>
    <row r="9" spans="1:6" x14ac:dyDescent="0.25">
      <c r="F9" s="52"/>
    </row>
    <row r="10" spans="1:6" x14ac:dyDescent="0.25">
      <c r="F10" s="52"/>
    </row>
    <row r="11" spans="1:6" x14ac:dyDescent="0.25">
      <c r="A11" s="55"/>
      <c r="B11" s="55"/>
      <c r="C11" s="55"/>
      <c r="D11" s="55"/>
      <c r="E11" s="55"/>
      <c r="F11" s="55"/>
    </row>
  </sheetData>
  <mergeCells count="1">
    <mergeCell ref="A7:F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45126-22E9-4F97-892F-BA568A5609AE}">
  <dimension ref="A1:O108"/>
  <sheetViews>
    <sheetView workbookViewId="0">
      <selection activeCell="L69" sqref="L69"/>
    </sheetView>
  </sheetViews>
  <sheetFormatPr defaultColWidth="11.42578125" defaultRowHeight="15" x14ac:dyDescent="0.25"/>
  <cols>
    <col min="4" max="4" width="61.5703125" bestFit="1" customWidth="1"/>
    <col min="5" max="5" width="15.140625" customWidth="1"/>
    <col min="6" max="6" width="15.140625" style="52" bestFit="1" customWidth="1"/>
    <col min="7" max="7" width="16.28515625" style="52" bestFit="1" customWidth="1"/>
    <col min="8" max="8" width="16.7109375" style="52" customWidth="1"/>
    <col min="9" max="9" width="28.5703125" bestFit="1" customWidth="1"/>
    <col min="11" max="11" width="20.42578125" customWidth="1"/>
    <col min="13" max="13" width="12.5703125" style="52" bestFit="1" customWidth="1"/>
    <col min="14" max="15" width="12.5703125" bestFit="1" customWidth="1"/>
  </cols>
  <sheetData>
    <row r="1" spans="2:11" x14ac:dyDescent="0.25">
      <c r="C1" s="2" t="s">
        <v>155</v>
      </c>
    </row>
    <row r="3" spans="2:11" x14ac:dyDescent="0.25">
      <c r="B3" s="2" t="s">
        <v>288</v>
      </c>
      <c r="C3" s="157" t="s">
        <v>150</v>
      </c>
      <c r="D3" s="157" t="s">
        <v>151</v>
      </c>
      <c r="E3" s="157"/>
      <c r="F3" s="221" t="s">
        <v>153</v>
      </c>
      <c r="G3" s="221" t="s">
        <v>154</v>
      </c>
      <c r="H3" s="221" t="s">
        <v>122</v>
      </c>
      <c r="I3" s="7"/>
    </row>
    <row r="4" spans="2:11" x14ac:dyDescent="0.25">
      <c r="B4">
        <v>8</v>
      </c>
      <c r="C4" s="7">
        <v>2390</v>
      </c>
      <c r="D4" s="7" t="s">
        <v>152</v>
      </c>
      <c r="E4" s="7"/>
      <c r="F4" s="187">
        <v>0</v>
      </c>
      <c r="G4" s="187"/>
      <c r="H4" s="222">
        <f>F4-G4</f>
        <v>0</v>
      </c>
      <c r="I4" s="7"/>
      <c r="K4" s="204">
        <v>157086</v>
      </c>
    </row>
    <row r="5" spans="2:11" x14ac:dyDescent="0.25">
      <c r="B5">
        <v>14</v>
      </c>
      <c r="C5" s="7">
        <v>9050</v>
      </c>
      <c r="D5" s="7" t="s">
        <v>156</v>
      </c>
      <c r="E5" s="7"/>
      <c r="F5" s="187">
        <v>1166012</v>
      </c>
      <c r="G5" s="187">
        <v>509925</v>
      </c>
      <c r="H5" s="222">
        <f>F5-G5</f>
        <v>656087</v>
      </c>
      <c r="I5" s="7" t="s">
        <v>249</v>
      </c>
      <c r="J5" t="s">
        <v>242</v>
      </c>
      <c r="K5" s="204">
        <v>586153</v>
      </c>
    </row>
    <row r="6" spans="2:11" x14ac:dyDescent="0.25">
      <c r="B6">
        <v>14</v>
      </c>
      <c r="C6" s="7">
        <v>9053</v>
      </c>
      <c r="D6" s="7" t="s">
        <v>207</v>
      </c>
      <c r="E6" s="7"/>
      <c r="F6" s="187">
        <v>152123</v>
      </c>
      <c r="G6" s="187">
        <v>0</v>
      </c>
      <c r="H6" s="222">
        <f>F6-G6</f>
        <v>152123</v>
      </c>
      <c r="I6" s="7"/>
      <c r="K6" s="204">
        <v>107560</v>
      </c>
    </row>
    <row r="7" spans="2:11" x14ac:dyDescent="0.25">
      <c r="B7">
        <v>1</v>
      </c>
      <c r="C7" s="7">
        <v>1844</v>
      </c>
      <c r="D7" s="7" t="s">
        <v>325</v>
      </c>
      <c r="E7" s="7"/>
      <c r="F7" s="187">
        <v>79350</v>
      </c>
      <c r="G7" s="187">
        <v>0</v>
      </c>
      <c r="H7" s="222">
        <f t="shared" ref="H7:H8" si="0">F7-G7</f>
        <v>79350</v>
      </c>
      <c r="I7" s="7"/>
      <c r="K7" s="204"/>
    </row>
    <row r="8" spans="2:11" x14ac:dyDescent="0.25">
      <c r="B8">
        <v>1</v>
      </c>
      <c r="C8" s="7">
        <v>1845</v>
      </c>
      <c r="D8" s="7" t="s">
        <v>324</v>
      </c>
      <c r="E8" s="7"/>
      <c r="F8" s="187">
        <v>70000</v>
      </c>
      <c r="G8" s="187">
        <v>0</v>
      </c>
      <c r="H8" s="222">
        <f t="shared" si="0"/>
        <v>70000</v>
      </c>
      <c r="I8" s="7"/>
      <c r="K8" s="204"/>
    </row>
    <row r="9" spans="2:11" x14ac:dyDescent="0.25">
      <c r="B9">
        <v>1</v>
      </c>
      <c r="C9" s="7">
        <v>2020</v>
      </c>
      <c r="D9" s="7" t="s">
        <v>157</v>
      </c>
      <c r="E9" s="7"/>
      <c r="F9" s="187">
        <v>28020</v>
      </c>
      <c r="G9" s="187">
        <v>0</v>
      </c>
      <c r="H9" s="222">
        <f t="shared" ref="H9:H67" si="1">F9-G9</f>
        <v>28020</v>
      </c>
      <c r="I9" s="7"/>
      <c r="K9" s="208">
        <f>SUM(K4:K6)</f>
        <v>850799</v>
      </c>
    </row>
    <row r="10" spans="2:11" x14ac:dyDescent="0.25">
      <c r="B10">
        <v>1</v>
      </c>
      <c r="C10" s="7">
        <v>2042</v>
      </c>
      <c r="D10" s="7" t="s">
        <v>158</v>
      </c>
      <c r="E10" s="7"/>
      <c r="F10" s="187">
        <v>8181</v>
      </c>
      <c r="G10" s="187">
        <f>6869+1312</f>
        <v>8181</v>
      </c>
      <c r="H10" s="222">
        <f t="shared" si="1"/>
        <v>0</v>
      </c>
      <c r="I10" s="7" t="s">
        <v>239</v>
      </c>
    </row>
    <row r="11" spans="2:11" x14ac:dyDescent="0.25">
      <c r="B11">
        <v>1</v>
      </c>
      <c r="C11" s="7">
        <v>2625</v>
      </c>
      <c r="D11" s="7" t="s">
        <v>159</v>
      </c>
      <c r="E11" s="7"/>
      <c r="F11" s="187">
        <v>570000</v>
      </c>
      <c r="G11" s="187">
        <f>477489+91164</f>
        <v>568653</v>
      </c>
      <c r="H11" s="222">
        <f t="shared" si="1"/>
        <v>1347</v>
      </c>
      <c r="I11" s="7" t="s">
        <v>247</v>
      </c>
      <c r="J11" s="185" t="s">
        <v>257</v>
      </c>
    </row>
    <row r="12" spans="2:11" x14ac:dyDescent="0.25">
      <c r="B12">
        <v>1</v>
      </c>
      <c r="C12" s="7">
        <v>2632</v>
      </c>
      <c r="D12" s="7" t="s">
        <v>160</v>
      </c>
      <c r="E12" s="7"/>
      <c r="F12" s="187">
        <v>17831</v>
      </c>
      <c r="G12" s="187">
        <f>14972+2859</f>
        <v>17831</v>
      </c>
      <c r="H12" s="222">
        <f t="shared" si="1"/>
        <v>0</v>
      </c>
      <c r="I12" s="7" t="s">
        <v>248</v>
      </c>
      <c r="J12" s="185" t="s">
        <v>257</v>
      </c>
      <c r="K12">
        <v>920</v>
      </c>
    </row>
    <row r="13" spans="2:11" x14ac:dyDescent="0.25">
      <c r="B13">
        <v>8</v>
      </c>
      <c r="C13" s="7">
        <v>2370</v>
      </c>
      <c r="D13" s="7" t="s">
        <v>161</v>
      </c>
      <c r="E13" s="7"/>
      <c r="F13" s="187">
        <v>2019632</v>
      </c>
      <c r="G13" s="187">
        <f>1592050+303957</f>
        <v>1896007</v>
      </c>
      <c r="H13" s="222">
        <f t="shared" si="1"/>
        <v>123625</v>
      </c>
      <c r="I13" s="7" t="s">
        <v>246</v>
      </c>
      <c r="J13" s="185" t="s">
        <v>228</v>
      </c>
      <c r="K13" s="204">
        <v>6869</v>
      </c>
    </row>
    <row r="14" spans="2:11" x14ac:dyDescent="0.25">
      <c r="B14">
        <v>4</v>
      </c>
      <c r="C14" s="7">
        <v>2360</v>
      </c>
      <c r="D14" s="7" t="s">
        <v>162</v>
      </c>
      <c r="E14" s="7"/>
      <c r="F14" s="187">
        <v>329196</v>
      </c>
      <c r="G14" s="187">
        <f>276420+52776</f>
        <v>329196</v>
      </c>
      <c r="H14" s="222">
        <f t="shared" si="1"/>
        <v>0</v>
      </c>
      <c r="I14" s="7" t="s">
        <v>245</v>
      </c>
      <c r="J14" s="185" t="s">
        <v>257</v>
      </c>
      <c r="K14" s="2">
        <f>SUM(K11:K13)</f>
        <v>7789</v>
      </c>
    </row>
    <row r="15" spans="2:11" x14ac:dyDescent="0.25">
      <c r="B15">
        <v>11</v>
      </c>
      <c r="C15" s="7">
        <v>2685</v>
      </c>
      <c r="D15" s="7" t="s">
        <v>163</v>
      </c>
      <c r="E15" s="7"/>
      <c r="F15" s="187">
        <v>107019</v>
      </c>
      <c r="G15" s="187">
        <f>89863+17156</f>
        <v>107019</v>
      </c>
      <c r="H15" s="222">
        <f t="shared" si="1"/>
        <v>0</v>
      </c>
      <c r="I15" s="7" t="s">
        <v>237</v>
      </c>
    </row>
    <row r="16" spans="2:11" x14ac:dyDescent="0.25">
      <c r="B16">
        <v>4</v>
      </c>
      <c r="C16" s="7">
        <v>2280</v>
      </c>
      <c r="D16" s="7" t="s">
        <v>164</v>
      </c>
      <c r="E16" s="7"/>
      <c r="F16" s="187">
        <v>10057647</v>
      </c>
      <c r="G16" s="187">
        <v>2441944</v>
      </c>
      <c r="H16" s="222">
        <f t="shared" si="1"/>
        <v>7615703</v>
      </c>
      <c r="I16" s="7" t="s">
        <v>258</v>
      </c>
      <c r="K16" s="204">
        <v>63930</v>
      </c>
    </row>
    <row r="17" spans="1:11" x14ac:dyDescent="0.25">
      <c r="B17">
        <v>4</v>
      </c>
      <c r="C17" s="7">
        <v>2285</v>
      </c>
      <c r="D17" s="7" t="s">
        <v>165</v>
      </c>
      <c r="E17" s="7"/>
      <c r="F17" s="187">
        <v>0</v>
      </c>
      <c r="G17" s="187">
        <v>0</v>
      </c>
      <c r="H17" s="222">
        <f t="shared" si="1"/>
        <v>0</v>
      </c>
      <c r="I17" s="7"/>
      <c r="K17" s="204">
        <v>477489</v>
      </c>
    </row>
    <row r="18" spans="1:11" x14ac:dyDescent="0.25">
      <c r="A18" t="s">
        <v>290</v>
      </c>
      <c r="B18">
        <v>4</v>
      </c>
      <c r="C18" s="7">
        <v>2314</v>
      </c>
      <c r="D18" s="7" t="s">
        <v>289</v>
      </c>
      <c r="E18" s="7"/>
      <c r="F18" s="187">
        <v>0</v>
      </c>
      <c r="G18" s="187">
        <v>0</v>
      </c>
      <c r="H18" s="223">
        <f t="shared" si="1"/>
        <v>0</v>
      </c>
      <c r="I18" s="7"/>
      <c r="K18" s="208">
        <f>SUM(K16:K17)</f>
        <v>541419</v>
      </c>
    </row>
    <row r="19" spans="1:11" x14ac:dyDescent="0.25">
      <c r="B19">
        <v>4</v>
      </c>
      <c r="C19" s="7">
        <v>2355</v>
      </c>
      <c r="D19" s="7" t="s">
        <v>166</v>
      </c>
      <c r="E19" s="7"/>
      <c r="F19" s="187">
        <v>126937</v>
      </c>
      <c r="G19" s="187">
        <v>0</v>
      </c>
      <c r="H19" s="222">
        <f t="shared" si="1"/>
        <v>126937</v>
      </c>
      <c r="I19" s="7"/>
    </row>
    <row r="20" spans="1:11" x14ac:dyDescent="0.25">
      <c r="B20">
        <v>4</v>
      </c>
      <c r="C20" s="7">
        <v>2365</v>
      </c>
      <c r="D20" s="7" t="s">
        <v>167</v>
      </c>
      <c r="E20" s="7"/>
      <c r="F20" s="187">
        <v>0</v>
      </c>
      <c r="G20" s="187">
        <v>0</v>
      </c>
      <c r="H20" s="222">
        <f t="shared" si="1"/>
        <v>0</v>
      </c>
      <c r="I20" s="7"/>
      <c r="K20" s="204">
        <v>14972</v>
      </c>
    </row>
    <row r="21" spans="1:11" x14ac:dyDescent="0.25">
      <c r="B21">
        <v>4</v>
      </c>
      <c r="C21" s="7">
        <v>2540</v>
      </c>
      <c r="D21" s="7" t="s">
        <v>168</v>
      </c>
      <c r="E21" s="7"/>
      <c r="F21" s="187">
        <v>0</v>
      </c>
      <c r="G21" s="187">
        <v>0</v>
      </c>
      <c r="H21" s="222">
        <f t="shared" si="1"/>
        <v>0</v>
      </c>
      <c r="I21" s="7"/>
      <c r="K21" s="204">
        <v>2005</v>
      </c>
    </row>
    <row r="22" spans="1:11" x14ac:dyDescent="0.25">
      <c r="A22" t="s">
        <v>290</v>
      </c>
      <c r="B22">
        <v>4</v>
      </c>
      <c r="C22" s="7">
        <v>3002</v>
      </c>
      <c r="D22" s="7" t="s">
        <v>291</v>
      </c>
      <c r="E22" s="7"/>
      <c r="F22" s="187">
        <v>0</v>
      </c>
      <c r="G22" s="187">
        <v>0</v>
      </c>
      <c r="H22" s="222">
        <f t="shared" si="1"/>
        <v>0</v>
      </c>
      <c r="I22" s="7"/>
      <c r="K22" s="208">
        <f>SUM(K20:K21)</f>
        <v>16977</v>
      </c>
    </row>
    <row r="23" spans="1:11" x14ac:dyDescent="0.25">
      <c r="B23">
        <v>5</v>
      </c>
      <c r="C23" s="7">
        <v>3257</v>
      </c>
      <c r="D23" s="7" t="s">
        <v>169</v>
      </c>
      <c r="E23" s="7"/>
      <c r="F23" s="187">
        <v>52396</v>
      </c>
      <c r="G23" s="187">
        <v>52396</v>
      </c>
      <c r="H23" s="222">
        <f t="shared" si="1"/>
        <v>0</v>
      </c>
      <c r="I23" s="7" t="s">
        <v>227</v>
      </c>
      <c r="J23" s="185" t="s">
        <v>255</v>
      </c>
    </row>
    <row r="24" spans="1:11" x14ac:dyDescent="0.25">
      <c r="B24">
        <v>5</v>
      </c>
      <c r="C24" s="7">
        <v>3260</v>
      </c>
      <c r="D24" s="7" t="s">
        <v>170</v>
      </c>
      <c r="E24" s="7"/>
      <c r="F24" s="187">
        <v>36272</v>
      </c>
      <c r="G24" s="187">
        <v>36272</v>
      </c>
      <c r="H24" s="222">
        <f t="shared" si="1"/>
        <v>0</v>
      </c>
      <c r="I24" s="7" t="s">
        <v>227</v>
      </c>
      <c r="J24" s="185" t="s">
        <v>254</v>
      </c>
      <c r="K24" s="204">
        <v>1592050</v>
      </c>
    </row>
    <row r="25" spans="1:11" x14ac:dyDescent="0.25">
      <c r="B25">
        <v>5</v>
      </c>
      <c r="C25" s="7">
        <v>9000</v>
      </c>
      <c r="D25" s="7" t="s">
        <v>171</v>
      </c>
      <c r="E25" s="7"/>
      <c r="F25" s="187">
        <v>214099</v>
      </c>
      <c r="G25" s="187"/>
      <c r="H25" s="222">
        <f t="shared" si="1"/>
        <v>214099</v>
      </c>
      <c r="I25" s="7" t="s">
        <v>251</v>
      </c>
    </row>
    <row r="26" spans="1:11" x14ac:dyDescent="0.25">
      <c r="B26">
        <v>5</v>
      </c>
      <c r="C26" s="7">
        <v>9051</v>
      </c>
      <c r="D26" s="7" t="s">
        <v>172</v>
      </c>
      <c r="E26" s="7"/>
      <c r="F26" s="187">
        <v>22863</v>
      </c>
      <c r="G26" s="187"/>
      <c r="H26" s="222">
        <f t="shared" si="1"/>
        <v>22863</v>
      </c>
      <c r="I26" s="7"/>
      <c r="K26" s="204">
        <v>276420</v>
      </c>
    </row>
    <row r="27" spans="1:11" x14ac:dyDescent="0.25">
      <c r="B27">
        <v>5</v>
      </c>
      <c r="C27" s="7">
        <v>9070</v>
      </c>
      <c r="D27" s="7" t="s">
        <v>173</v>
      </c>
      <c r="E27" s="7"/>
      <c r="F27" s="187">
        <v>86013</v>
      </c>
      <c r="G27" s="187">
        <v>86013</v>
      </c>
      <c r="H27" s="222">
        <f t="shared" si="1"/>
        <v>0</v>
      </c>
      <c r="I27" s="7" t="s">
        <v>231</v>
      </c>
      <c r="J27" s="185" t="s">
        <v>254</v>
      </c>
      <c r="K27" s="204">
        <v>37010</v>
      </c>
    </row>
    <row r="28" spans="1:11" x14ac:dyDescent="0.25">
      <c r="B28">
        <v>5</v>
      </c>
      <c r="C28" s="7">
        <v>9071</v>
      </c>
      <c r="D28" s="7" t="s">
        <v>174</v>
      </c>
      <c r="E28" s="7"/>
      <c r="F28" s="187">
        <v>7880</v>
      </c>
      <c r="G28" s="187">
        <v>7880</v>
      </c>
      <c r="H28" s="222">
        <f t="shared" si="1"/>
        <v>0</v>
      </c>
      <c r="I28" s="7" t="s">
        <v>231</v>
      </c>
      <c r="J28" s="185" t="s">
        <v>229</v>
      </c>
      <c r="K28" s="208">
        <f>SUM(K26:K27)</f>
        <v>313430</v>
      </c>
    </row>
    <row r="29" spans="1:11" x14ac:dyDescent="0.25">
      <c r="B29">
        <v>5</v>
      </c>
      <c r="C29" s="7">
        <v>9075</v>
      </c>
      <c r="D29" s="7" t="s">
        <v>175</v>
      </c>
      <c r="E29" s="7"/>
      <c r="F29" s="187">
        <v>10478</v>
      </c>
      <c r="G29" s="187"/>
      <c r="H29" s="222">
        <f t="shared" si="1"/>
        <v>10478</v>
      </c>
      <c r="I29" s="7"/>
    </row>
    <row r="30" spans="1:11" x14ac:dyDescent="0.25">
      <c r="B30">
        <v>5</v>
      </c>
      <c r="C30" s="7">
        <v>9080</v>
      </c>
      <c r="D30" s="7" t="s">
        <v>176</v>
      </c>
      <c r="E30" s="7"/>
      <c r="F30" s="187">
        <v>1600000</v>
      </c>
      <c r="G30" s="187"/>
      <c r="H30" s="222">
        <f t="shared" si="1"/>
        <v>1600000</v>
      </c>
      <c r="I30" s="7"/>
      <c r="K30" s="204">
        <v>89863</v>
      </c>
    </row>
    <row r="31" spans="1:11" x14ac:dyDescent="0.25">
      <c r="B31">
        <v>5</v>
      </c>
      <c r="C31" s="7">
        <v>9085</v>
      </c>
      <c r="D31" s="7" t="s">
        <v>326</v>
      </c>
      <c r="E31" s="7"/>
      <c r="F31" s="187">
        <v>66391</v>
      </c>
      <c r="G31" s="187"/>
      <c r="H31" s="222">
        <f t="shared" si="1"/>
        <v>66391</v>
      </c>
      <c r="I31" s="7"/>
      <c r="K31" s="204"/>
    </row>
    <row r="32" spans="1:11" x14ac:dyDescent="0.25">
      <c r="B32">
        <v>5</v>
      </c>
      <c r="C32" s="7">
        <v>9100</v>
      </c>
      <c r="D32" s="7" t="s">
        <v>177</v>
      </c>
      <c r="E32" s="7"/>
      <c r="F32" s="187">
        <v>79539</v>
      </c>
      <c r="G32" s="187"/>
      <c r="H32" s="222">
        <f t="shared" si="1"/>
        <v>79539</v>
      </c>
      <c r="I32" s="7"/>
    </row>
    <row r="33" spans="1:12" x14ac:dyDescent="0.25">
      <c r="B33">
        <v>5</v>
      </c>
      <c r="C33" s="7">
        <v>9105</v>
      </c>
      <c r="D33" s="7" t="s">
        <v>178</v>
      </c>
      <c r="E33" s="7"/>
      <c r="F33" s="187">
        <v>214064</v>
      </c>
      <c r="G33" s="187"/>
      <c r="H33" s="222">
        <f t="shared" si="1"/>
        <v>214064</v>
      </c>
      <c r="I33" s="7" t="s">
        <v>220</v>
      </c>
      <c r="K33" s="204">
        <v>9823446</v>
      </c>
    </row>
    <row r="34" spans="1:12" x14ac:dyDescent="0.25">
      <c r="B34">
        <v>5</v>
      </c>
      <c r="C34" s="7">
        <v>9106</v>
      </c>
      <c r="D34" s="7" t="s">
        <v>179</v>
      </c>
      <c r="E34" s="7"/>
      <c r="F34" s="187">
        <v>44908</v>
      </c>
      <c r="G34" s="187"/>
      <c r="H34" s="222">
        <f t="shared" si="1"/>
        <v>44908</v>
      </c>
      <c r="I34" s="7" t="s">
        <v>224</v>
      </c>
      <c r="J34" s="185" t="s">
        <v>253</v>
      </c>
    </row>
    <row r="35" spans="1:12" x14ac:dyDescent="0.25">
      <c r="B35">
        <v>5</v>
      </c>
      <c r="C35" s="7">
        <v>9107</v>
      </c>
      <c r="D35" s="7" t="s">
        <v>180</v>
      </c>
      <c r="E35" s="7"/>
      <c r="F35" s="187">
        <v>17878</v>
      </c>
      <c r="G35" s="187"/>
      <c r="H35" s="222">
        <f t="shared" si="1"/>
        <v>17878</v>
      </c>
      <c r="I35" s="7" t="s">
        <v>224</v>
      </c>
      <c r="J35" s="185" t="s">
        <v>228</v>
      </c>
      <c r="K35" s="205"/>
      <c r="L35" s="204"/>
    </row>
    <row r="36" spans="1:12" x14ac:dyDescent="0.25">
      <c r="A36" t="s">
        <v>290</v>
      </c>
      <c r="B36">
        <v>5</v>
      </c>
      <c r="C36" s="7">
        <v>9125</v>
      </c>
      <c r="D36" s="7" t="s">
        <v>292</v>
      </c>
      <c r="E36" s="7"/>
      <c r="F36" s="187">
        <v>9320</v>
      </c>
      <c r="G36" s="187"/>
      <c r="H36" s="222">
        <f t="shared" si="1"/>
        <v>9320</v>
      </c>
      <c r="I36" s="7"/>
      <c r="J36" s="185"/>
      <c r="K36" s="204">
        <v>18052</v>
      </c>
    </row>
    <row r="37" spans="1:12" x14ac:dyDescent="0.25">
      <c r="B37">
        <v>5</v>
      </c>
      <c r="C37" s="7">
        <v>9275</v>
      </c>
      <c r="D37" s="7" t="s">
        <v>181</v>
      </c>
      <c r="E37" s="7"/>
      <c r="F37" s="187">
        <v>28540</v>
      </c>
      <c r="G37" s="187">
        <f>18052+7166+552</f>
        <v>25770</v>
      </c>
      <c r="H37" s="222">
        <f t="shared" si="1"/>
        <v>2770</v>
      </c>
      <c r="I37" s="7" t="s">
        <v>227</v>
      </c>
      <c r="J37" s="185" t="s">
        <v>232</v>
      </c>
    </row>
    <row r="38" spans="1:12" x14ac:dyDescent="0.25">
      <c r="B38">
        <v>5</v>
      </c>
      <c r="C38" s="7">
        <v>9300</v>
      </c>
      <c r="D38" s="7" t="s">
        <v>182</v>
      </c>
      <c r="E38" s="7"/>
      <c r="F38" s="187">
        <v>383528</v>
      </c>
      <c r="G38" s="187"/>
      <c r="H38" s="222">
        <f t="shared" si="1"/>
        <v>383528</v>
      </c>
      <c r="I38" s="7"/>
    </row>
    <row r="39" spans="1:12" x14ac:dyDescent="0.25">
      <c r="B39" s="24">
        <v>5</v>
      </c>
      <c r="C39" s="7">
        <v>9301</v>
      </c>
      <c r="D39" s="7" t="s">
        <v>59</v>
      </c>
      <c r="E39" s="7"/>
      <c r="F39" s="187">
        <v>525300</v>
      </c>
      <c r="G39" s="187">
        <v>525300</v>
      </c>
      <c r="H39" s="222">
        <f t="shared" si="1"/>
        <v>0</v>
      </c>
      <c r="I39" s="7" t="s">
        <v>259</v>
      </c>
      <c r="J39" t="s">
        <v>148</v>
      </c>
      <c r="K39" s="204">
        <v>36272</v>
      </c>
    </row>
    <row r="40" spans="1:12" x14ac:dyDescent="0.25">
      <c r="B40">
        <v>5</v>
      </c>
      <c r="C40" s="7">
        <v>9317</v>
      </c>
      <c r="D40" s="7" t="s">
        <v>59</v>
      </c>
      <c r="E40" s="7"/>
      <c r="F40" s="187"/>
      <c r="G40" s="187">
        <v>17000</v>
      </c>
      <c r="H40" s="222">
        <f t="shared" si="1"/>
        <v>-17000</v>
      </c>
      <c r="I40" s="7" t="s">
        <v>260</v>
      </c>
      <c r="J40" t="s">
        <v>148</v>
      </c>
    </row>
    <row r="41" spans="1:12" x14ac:dyDescent="0.25">
      <c r="B41">
        <v>5</v>
      </c>
      <c r="C41" s="7">
        <v>9302</v>
      </c>
      <c r="D41" s="7" t="s">
        <v>183</v>
      </c>
      <c r="E41" s="7"/>
      <c r="F41" s="187">
        <v>1565202</v>
      </c>
      <c r="G41" s="187">
        <f>1242851+90294</f>
        <v>1333145</v>
      </c>
      <c r="H41" s="222">
        <f t="shared" si="1"/>
        <v>232057</v>
      </c>
      <c r="I41" s="7" t="s">
        <v>256</v>
      </c>
      <c r="K41" s="204">
        <v>52396</v>
      </c>
      <c r="L41" s="204">
        <v>30000</v>
      </c>
    </row>
    <row r="42" spans="1:12" x14ac:dyDescent="0.25">
      <c r="A42" t="s">
        <v>290</v>
      </c>
      <c r="B42">
        <v>5</v>
      </c>
      <c r="C42" s="7">
        <v>9306</v>
      </c>
      <c r="D42" s="7" t="s">
        <v>293</v>
      </c>
      <c r="E42" s="7"/>
      <c r="F42" s="187">
        <v>11273</v>
      </c>
      <c r="G42" s="187"/>
      <c r="H42" s="222">
        <f t="shared" si="1"/>
        <v>11273</v>
      </c>
      <c r="I42" s="7"/>
      <c r="L42" s="204">
        <v>2311</v>
      </c>
    </row>
    <row r="43" spans="1:12" x14ac:dyDescent="0.25">
      <c r="B43">
        <v>5</v>
      </c>
      <c r="C43" s="7">
        <v>9307</v>
      </c>
      <c r="D43" s="7" t="s">
        <v>184</v>
      </c>
      <c r="E43" s="7"/>
      <c r="F43" s="187">
        <v>44512</v>
      </c>
      <c r="G43" s="187">
        <f>19123+22000+2311</f>
        <v>43434</v>
      </c>
      <c r="H43" s="222">
        <f t="shared" si="1"/>
        <v>1078</v>
      </c>
      <c r="I43" s="7" t="s">
        <v>252</v>
      </c>
      <c r="K43" s="204">
        <v>26006</v>
      </c>
      <c r="L43" s="204">
        <v>19123</v>
      </c>
    </row>
    <row r="44" spans="1:12" x14ac:dyDescent="0.25">
      <c r="B44">
        <v>5</v>
      </c>
      <c r="C44" s="7">
        <v>9315</v>
      </c>
      <c r="D44" s="7" t="s">
        <v>185</v>
      </c>
      <c r="E44" s="7"/>
      <c r="F44" s="187">
        <v>10831</v>
      </c>
      <c r="G44" s="187"/>
      <c r="H44" s="222">
        <f t="shared" si="1"/>
        <v>10831</v>
      </c>
      <c r="I44" s="7"/>
      <c r="K44" s="204">
        <v>1904</v>
      </c>
      <c r="L44" s="208">
        <f>SUM(L42:L43)</f>
        <v>21434</v>
      </c>
    </row>
    <row r="45" spans="1:12" x14ac:dyDescent="0.25">
      <c r="B45">
        <v>5</v>
      </c>
      <c r="C45" s="7">
        <v>9317</v>
      </c>
      <c r="D45" s="7" t="s">
        <v>327</v>
      </c>
      <c r="E45" s="7"/>
      <c r="F45" s="187">
        <v>17000</v>
      </c>
      <c r="G45" s="187"/>
      <c r="H45" s="222">
        <f t="shared" si="1"/>
        <v>17000</v>
      </c>
      <c r="I45" s="7"/>
      <c r="K45" s="204"/>
      <c r="L45" s="208"/>
    </row>
    <row r="46" spans="1:12" x14ac:dyDescent="0.25">
      <c r="B46">
        <v>5</v>
      </c>
      <c r="C46" s="7">
        <v>9320</v>
      </c>
      <c r="D46" s="7" t="s">
        <v>187</v>
      </c>
      <c r="E46" s="7"/>
      <c r="F46" s="187">
        <v>30000</v>
      </c>
      <c r="G46" s="187">
        <v>30000</v>
      </c>
      <c r="H46" s="222">
        <f t="shared" si="1"/>
        <v>0</v>
      </c>
      <c r="I46" s="7" t="s">
        <v>250</v>
      </c>
      <c r="J46" t="s">
        <v>243</v>
      </c>
    </row>
    <row r="47" spans="1:12" x14ac:dyDescent="0.25">
      <c r="B47">
        <v>5</v>
      </c>
      <c r="C47" s="7">
        <v>9400</v>
      </c>
      <c r="D47" s="7" t="s">
        <v>188</v>
      </c>
      <c r="E47" s="7"/>
      <c r="F47" s="187">
        <v>75168</v>
      </c>
      <c r="G47" s="187"/>
      <c r="H47" s="222">
        <f t="shared" si="1"/>
        <v>75168</v>
      </c>
      <c r="I47" s="7" t="s">
        <v>231</v>
      </c>
      <c r="J47" s="185" t="s">
        <v>255</v>
      </c>
      <c r="K47" s="204"/>
    </row>
    <row r="48" spans="1:12" x14ac:dyDescent="0.25">
      <c r="A48" s="40"/>
      <c r="B48">
        <v>5</v>
      </c>
      <c r="C48" s="7">
        <v>9401</v>
      </c>
      <c r="D48" s="7" t="s">
        <v>189</v>
      </c>
      <c r="E48" s="7"/>
      <c r="F48" s="187">
        <v>217891</v>
      </c>
      <c r="G48" s="187"/>
      <c r="H48" s="222">
        <f t="shared" si="1"/>
        <v>217891</v>
      </c>
      <c r="I48" s="7"/>
    </row>
    <row r="49" spans="1:11" x14ac:dyDescent="0.25">
      <c r="B49">
        <v>5</v>
      </c>
      <c r="C49" s="7">
        <v>9450</v>
      </c>
      <c r="D49" s="7" t="s">
        <v>190</v>
      </c>
      <c r="E49" s="7"/>
      <c r="F49" s="187">
        <v>230939</v>
      </c>
      <c r="G49" s="187"/>
      <c r="H49" s="222">
        <f t="shared" si="1"/>
        <v>230939</v>
      </c>
      <c r="I49" s="7"/>
    </row>
    <row r="50" spans="1:11" x14ac:dyDescent="0.25">
      <c r="B50">
        <v>5</v>
      </c>
      <c r="C50" s="7">
        <v>9475</v>
      </c>
      <c r="D50" s="7" t="s">
        <v>294</v>
      </c>
      <c r="E50" s="7"/>
      <c r="F50" s="187">
        <v>13915</v>
      </c>
      <c r="G50" s="187"/>
      <c r="H50" s="222">
        <f t="shared" si="1"/>
        <v>13915</v>
      </c>
      <c r="I50" s="7"/>
      <c r="K50" s="204">
        <v>86013</v>
      </c>
    </row>
    <row r="51" spans="1:11" x14ac:dyDescent="0.25">
      <c r="B51">
        <v>6</v>
      </c>
      <c r="C51" s="7">
        <v>2512</v>
      </c>
      <c r="D51" s="7" t="s">
        <v>191</v>
      </c>
      <c r="E51" s="7"/>
      <c r="F51" s="187">
        <v>36614</v>
      </c>
      <c r="G51" s="187"/>
      <c r="H51" s="222">
        <f t="shared" si="1"/>
        <v>36614</v>
      </c>
      <c r="I51" s="7"/>
      <c r="K51" s="204">
        <v>7880</v>
      </c>
    </row>
    <row r="52" spans="1:11" x14ac:dyDescent="0.25">
      <c r="B52">
        <v>6</v>
      </c>
      <c r="C52" s="7">
        <v>2513</v>
      </c>
      <c r="D52" s="7" t="s">
        <v>192</v>
      </c>
      <c r="E52" s="7"/>
      <c r="F52" s="187"/>
      <c r="G52" s="187"/>
      <c r="H52" s="222">
        <f t="shared" si="1"/>
        <v>0</v>
      </c>
      <c r="I52" s="7"/>
      <c r="K52" s="204">
        <v>61871</v>
      </c>
    </row>
    <row r="53" spans="1:11" x14ac:dyDescent="0.25">
      <c r="B53">
        <v>6</v>
      </c>
      <c r="C53" s="7">
        <v>2514</v>
      </c>
      <c r="D53" s="7" t="s">
        <v>193</v>
      </c>
      <c r="E53" s="7"/>
      <c r="F53" s="187">
        <v>58248</v>
      </c>
      <c r="G53" s="187"/>
      <c r="H53" s="222">
        <f t="shared" si="1"/>
        <v>58248</v>
      </c>
      <c r="I53" s="7"/>
    </row>
    <row r="54" spans="1:11" x14ac:dyDescent="0.25">
      <c r="B54">
        <v>6</v>
      </c>
      <c r="C54" s="7">
        <v>2517</v>
      </c>
      <c r="D54" s="7" t="s">
        <v>194</v>
      </c>
      <c r="E54" s="7"/>
      <c r="F54" s="187">
        <v>151900</v>
      </c>
      <c r="G54" s="187">
        <v>151900</v>
      </c>
      <c r="H54" s="222">
        <f t="shared" si="1"/>
        <v>0</v>
      </c>
      <c r="I54" s="7" t="s">
        <v>241</v>
      </c>
    </row>
    <row r="55" spans="1:11" x14ac:dyDescent="0.25">
      <c r="B55">
        <v>6</v>
      </c>
      <c r="C55" s="7">
        <v>2518</v>
      </c>
      <c r="D55" s="7" t="s">
        <v>195</v>
      </c>
      <c r="E55" s="7"/>
      <c r="F55" s="187">
        <v>616767</v>
      </c>
      <c r="G55" s="187"/>
      <c r="H55" s="222">
        <f t="shared" si="1"/>
        <v>616767</v>
      </c>
      <c r="I55" s="7"/>
    </row>
    <row r="56" spans="1:11" x14ac:dyDescent="0.25">
      <c r="B56">
        <v>6</v>
      </c>
      <c r="C56" s="7">
        <v>2521</v>
      </c>
      <c r="D56" s="7" t="s">
        <v>196</v>
      </c>
      <c r="E56" s="7"/>
      <c r="F56" s="187">
        <v>28222</v>
      </c>
      <c r="G56" s="187"/>
      <c r="H56" s="222">
        <f t="shared" si="1"/>
        <v>28222</v>
      </c>
      <c r="I56" s="7"/>
    </row>
    <row r="57" spans="1:11" x14ac:dyDescent="0.25">
      <c r="B57">
        <v>6</v>
      </c>
      <c r="C57" s="7">
        <v>4350</v>
      </c>
      <c r="D57" s="7" t="s">
        <v>295</v>
      </c>
      <c r="E57" s="7"/>
      <c r="F57" s="187">
        <v>101789</v>
      </c>
      <c r="G57" s="187"/>
      <c r="H57" s="222">
        <f t="shared" si="1"/>
        <v>101789</v>
      </c>
      <c r="I57" s="7"/>
      <c r="K57" s="204">
        <v>5210</v>
      </c>
    </row>
    <row r="58" spans="1:11" x14ac:dyDescent="0.25">
      <c r="B58">
        <v>6</v>
      </c>
      <c r="C58" s="7">
        <v>4235</v>
      </c>
      <c r="D58" s="7" t="s">
        <v>198</v>
      </c>
      <c r="E58" s="7"/>
      <c r="F58" s="187">
        <v>84540</v>
      </c>
      <c r="G58" s="187"/>
      <c r="H58" s="222">
        <f t="shared" si="1"/>
        <v>84540</v>
      </c>
      <c r="I58" s="7"/>
      <c r="K58" s="204">
        <v>173653</v>
      </c>
    </row>
    <row r="59" spans="1:11" x14ac:dyDescent="0.25">
      <c r="B59">
        <v>6</v>
      </c>
      <c r="C59" s="7">
        <v>8200</v>
      </c>
      <c r="D59" s="7" t="s">
        <v>199</v>
      </c>
      <c r="E59" s="7"/>
      <c r="F59" s="187">
        <v>29394</v>
      </c>
      <c r="G59" s="187"/>
      <c r="H59" s="222">
        <f t="shared" si="1"/>
        <v>29394</v>
      </c>
      <c r="I59" s="7"/>
    </row>
    <row r="60" spans="1:11" x14ac:dyDescent="0.25">
      <c r="A60" s="40"/>
      <c r="B60">
        <v>6</v>
      </c>
      <c r="C60" s="7">
        <v>8769</v>
      </c>
      <c r="D60" s="7" t="s">
        <v>200</v>
      </c>
      <c r="E60" s="7"/>
      <c r="F60" s="187">
        <v>58248</v>
      </c>
      <c r="G60" s="187"/>
      <c r="H60" s="222">
        <f t="shared" si="1"/>
        <v>58248</v>
      </c>
      <c r="I60" s="7"/>
      <c r="K60" s="204">
        <v>52530</v>
      </c>
    </row>
    <row r="61" spans="1:11" x14ac:dyDescent="0.25">
      <c r="B61">
        <v>6</v>
      </c>
      <c r="C61" s="7">
        <v>8999</v>
      </c>
      <c r="D61" s="7" t="s">
        <v>201</v>
      </c>
      <c r="E61" s="7"/>
      <c r="F61" s="187">
        <v>277000</v>
      </c>
      <c r="G61" s="187"/>
      <c r="H61" s="222">
        <f t="shared" si="1"/>
        <v>277000</v>
      </c>
      <c r="I61" s="7"/>
      <c r="K61" s="204">
        <v>93500</v>
      </c>
    </row>
    <row r="62" spans="1:11" x14ac:dyDescent="0.25">
      <c r="B62">
        <v>7</v>
      </c>
      <c r="C62" s="7">
        <v>2480</v>
      </c>
      <c r="D62" s="7" t="s">
        <v>202</v>
      </c>
      <c r="E62" s="7"/>
      <c r="F62" s="187">
        <v>13400</v>
      </c>
      <c r="G62" s="187"/>
      <c r="H62" s="222">
        <f t="shared" si="1"/>
        <v>13400</v>
      </c>
      <c r="I62" s="7"/>
      <c r="K62" s="204">
        <v>140454</v>
      </c>
    </row>
    <row r="63" spans="1:11" x14ac:dyDescent="0.25">
      <c r="B63">
        <v>7</v>
      </c>
      <c r="C63" s="7">
        <v>2511</v>
      </c>
      <c r="D63" s="7" t="s">
        <v>203</v>
      </c>
      <c r="E63" s="7"/>
      <c r="F63" s="187">
        <v>24759</v>
      </c>
      <c r="G63" s="187"/>
      <c r="H63" s="222">
        <f t="shared" si="1"/>
        <v>24759</v>
      </c>
      <c r="I63" s="7"/>
      <c r="K63" s="204">
        <v>46818</v>
      </c>
    </row>
    <row r="64" spans="1:11" x14ac:dyDescent="0.25">
      <c r="B64">
        <v>7</v>
      </c>
      <c r="C64" s="7">
        <v>2520</v>
      </c>
      <c r="D64" s="7" t="s">
        <v>204</v>
      </c>
      <c r="E64" s="7"/>
      <c r="F64" s="187">
        <v>14400</v>
      </c>
      <c r="G64" s="187"/>
      <c r="H64" s="222">
        <f t="shared" si="1"/>
        <v>14400</v>
      </c>
      <c r="I64" s="7"/>
      <c r="K64" s="204">
        <v>191998</v>
      </c>
    </row>
    <row r="65" spans="2:15" x14ac:dyDescent="0.25">
      <c r="B65">
        <v>8</v>
      </c>
      <c r="C65" s="7">
        <v>2401</v>
      </c>
      <c r="D65" s="7" t="s">
        <v>205</v>
      </c>
      <c r="E65" s="7"/>
      <c r="F65" s="187">
        <v>0</v>
      </c>
      <c r="G65" s="187"/>
      <c r="H65" s="222">
        <f t="shared" si="1"/>
        <v>0</v>
      </c>
      <c r="I65" s="7"/>
      <c r="J65" s="185"/>
      <c r="K65" s="204">
        <v>17000</v>
      </c>
    </row>
    <row r="66" spans="2:15" x14ac:dyDescent="0.25">
      <c r="B66">
        <v>9</v>
      </c>
      <c r="C66" s="7">
        <v>2573</v>
      </c>
      <c r="D66" s="7" t="s">
        <v>265</v>
      </c>
      <c r="E66" s="7"/>
      <c r="F66" s="187">
        <v>0</v>
      </c>
      <c r="G66" s="187"/>
      <c r="H66" s="222">
        <f t="shared" si="1"/>
        <v>0</v>
      </c>
      <c r="I66" s="7"/>
      <c r="J66" s="185"/>
      <c r="K66" s="204">
        <v>151900</v>
      </c>
    </row>
    <row r="67" spans="2:15" x14ac:dyDescent="0.25">
      <c r="B67">
        <v>9</v>
      </c>
      <c r="C67" s="7">
        <v>2581</v>
      </c>
      <c r="D67" s="7" t="s">
        <v>206</v>
      </c>
      <c r="E67" s="7"/>
      <c r="F67" s="187">
        <v>45022</v>
      </c>
      <c r="G67" s="187"/>
      <c r="H67" s="222">
        <f t="shared" si="1"/>
        <v>45022</v>
      </c>
      <c r="I67" s="7"/>
      <c r="K67" s="204">
        <v>213155</v>
      </c>
    </row>
    <row r="68" spans="2:15" x14ac:dyDescent="0.25">
      <c r="F68" s="210">
        <f>SUM(F4:F67)</f>
        <v>21888451</v>
      </c>
      <c r="G68" s="210">
        <f>SUM(G4:G67)</f>
        <v>8187866</v>
      </c>
      <c r="H68" s="210">
        <f>SUM(H4:H67)</f>
        <v>13700585</v>
      </c>
      <c r="K68" s="204">
        <v>1242851</v>
      </c>
    </row>
    <row r="69" spans="2:15" x14ac:dyDescent="0.25">
      <c r="F69" s="76"/>
      <c r="G69" s="76"/>
      <c r="H69" s="76"/>
    </row>
    <row r="70" spans="2:15" x14ac:dyDescent="0.25">
      <c r="F70" s="76"/>
      <c r="G70" s="210"/>
      <c r="H70" s="76"/>
      <c r="M70" s="226"/>
      <c r="O70" s="81"/>
    </row>
    <row r="71" spans="2:15" x14ac:dyDescent="0.25">
      <c r="F71" s="76"/>
      <c r="G71" s="210"/>
      <c r="H71" s="76"/>
      <c r="J71" t="s">
        <v>212</v>
      </c>
      <c r="L71" t="s">
        <v>211</v>
      </c>
      <c r="M71" s="209">
        <v>15600</v>
      </c>
    </row>
    <row r="72" spans="2:15" x14ac:dyDescent="0.25">
      <c r="F72" s="76"/>
      <c r="G72" s="76"/>
      <c r="H72" s="76"/>
      <c r="J72" t="s">
        <v>213</v>
      </c>
      <c r="L72" t="s">
        <v>214</v>
      </c>
      <c r="M72" s="209"/>
    </row>
    <row r="73" spans="2:15" x14ac:dyDescent="0.25">
      <c r="F73" s="76"/>
      <c r="G73" s="76"/>
      <c r="H73" s="76"/>
      <c r="J73" t="s">
        <v>215</v>
      </c>
      <c r="L73" t="s">
        <v>216</v>
      </c>
      <c r="M73" s="209">
        <v>643136</v>
      </c>
      <c r="O73" s="81"/>
    </row>
    <row r="74" spans="2:15" x14ac:dyDescent="0.25">
      <c r="F74" s="76"/>
      <c r="G74" s="76"/>
      <c r="H74" s="76"/>
      <c r="J74" t="s">
        <v>217</v>
      </c>
      <c r="L74" t="s">
        <v>218</v>
      </c>
      <c r="M74" s="209"/>
    </row>
    <row r="75" spans="2:15" x14ac:dyDescent="0.25">
      <c r="F75" s="76"/>
      <c r="G75" s="76"/>
      <c r="H75" s="76"/>
      <c r="J75" t="s">
        <v>219</v>
      </c>
      <c r="L75" t="s">
        <v>220</v>
      </c>
      <c r="M75" s="226">
        <v>131557</v>
      </c>
      <c r="N75" s="204"/>
    </row>
    <row r="76" spans="2:15" x14ac:dyDescent="0.25">
      <c r="F76" s="76"/>
      <c r="G76" s="76"/>
      <c r="H76" s="76"/>
      <c r="J76" t="s">
        <v>219</v>
      </c>
      <c r="L76" t="s">
        <v>220</v>
      </c>
      <c r="M76" s="209">
        <v>199626</v>
      </c>
    </row>
    <row r="77" spans="2:15" x14ac:dyDescent="0.25">
      <c r="F77" s="76"/>
      <c r="G77" s="76"/>
      <c r="H77" s="76"/>
      <c r="J77" t="s">
        <v>219</v>
      </c>
      <c r="L77" t="s">
        <v>220</v>
      </c>
      <c r="M77" s="226">
        <v>33977</v>
      </c>
      <c r="N77" s="81"/>
    </row>
    <row r="78" spans="2:15" x14ac:dyDescent="0.25">
      <c r="F78" s="76"/>
      <c r="G78" s="76"/>
      <c r="H78" s="76"/>
      <c r="J78" t="s">
        <v>221</v>
      </c>
      <c r="L78" t="s">
        <v>222</v>
      </c>
      <c r="M78" s="226">
        <v>2882</v>
      </c>
      <c r="N78" s="204"/>
    </row>
    <row r="79" spans="2:15" x14ac:dyDescent="0.25">
      <c r="F79" s="76"/>
      <c r="G79" s="76"/>
      <c r="H79" s="76"/>
      <c r="J79" t="s">
        <v>221</v>
      </c>
      <c r="L79" t="s">
        <v>222</v>
      </c>
      <c r="M79" s="226">
        <v>6000</v>
      </c>
      <c r="N79" s="204"/>
    </row>
    <row r="80" spans="2:15" x14ac:dyDescent="0.25">
      <c r="F80" s="76"/>
      <c r="G80" s="76"/>
      <c r="H80" s="76"/>
      <c r="J80" t="s">
        <v>223</v>
      </c>
      <c r="L80" t="s">
        <v>224</v>
      </c>
      <c r="M80" s="226">
        <v>26006</v>
      </c>
      <c r="N80" s="227"/>
    </row>
    <row r="81" spans="6:15" x14ac:dyDescent="0.25">
      <c r="F81" s="76"/>
      <c r="G81" s="76"/>
      <c r="H81" s="76"/>
      <c r="J81" t="s">
        <v>223</v>
      </c>
      <c r="L81" t="s">
        <v>224</v>
      </c>
      <c r="M81" s="226">
        <v>63454</v>
      </c>
      <c r="N81" s="185"/>
      <c r="O81" s="81"/>
    </row>
    <row r="82" spans="6:15" x14ac:dyDescent="0.25">
      <c r="F82" s="76"/>
      <c r="G82" s="76"/>
      <c r="H82" s="76"/>
      <c r="J82" t="s">
        <v>223</v>
      </c>
      <c r="L82" t="s">
        <v>224</v>
      </c>
      <c r="M82" s="226">
        <v>1904</v>
      </c>
      <c r="N82" s="185"/>
      <c r="O82" s="81"/>
    </row>
    <row r="83" spans="6:15" x14ac:dyDescent="0.25">
      <c r="F83" s="76"/>
      <c r="G83" s="76"/>
      <c r="H83" s="76"/>
      <c r="J83" t="s">
        <v>223</v>
      </c>
      <c r="L83" t="s">
        <v>224</v>
      </c>
      <c r="M83" s="226">
        <v>13621</v>
      </c>
      <c r="N83" s="185"/>
    </row>
    <row r="84" spans="6:15" x14ac:dyDescent="0.25">
      <c r="F84" s="76"/>
      <c r="G84" s="76"/>
      <c r="H84" s="76"/>
      <c r="J84" t="s">
        <v>226</v>
      </c>
      <c r="L84" t="s">
        <v>227</v>
      </c>
      <c r="M84" s="226">
        <v>16085</v>
      </c>
      <c r="N84" s="185"/>
    </row>
    <row r="85" spans="6:15" x14ac:dyDescent="0.25">
      <c r="F85" s="76"/>
      <c r="G85" s="76"/>
      <c r="H85" s="76"/>
      <c r="J85" t="s">
        <v>226</v>
      </c>
      <c r="L85" t="s">
        <v>227</v>
      </c>
      <c r="M85" s="226"/>
      <c r="N85" s="185"/>
    </row>
    <row r="86" spans="6:15" x14ac:dyDescent="0.25">
      <c r="F86" s="76"/>
      <c r="G86" s="76"/>
      <c r="H86" s="76"/>
      <c r="J86" t="s">
        <v>226</v>
      </c>
      <c r="L86" t="s">
        <v>227</v>
      </c>
      <c r="M86" s="226"/>
      <c r="N86" s="185"/>
    </row>
    <row r="87" spans="6:15" x14ac:dyDescent="0.25">
      <c r="F87" s="76"/>
      <c r="G87" s="76"/>
      <c r="H87" s="76"/>
      <c r="J87" t="s">
        <v>226</v>
      </c>
      <c r="L87" t="s">
        <v>227</v>
      </c>
      <c r="M87" s="226"/>
      <c r="N87" s="185"/>
      <c r="O87" s="81"/>
    </row>
    <row r="88" spans="6:15" x14ac:dyDescent="0.25">
      <c r="F88" s="76"/>
      <c r="G88" s="76"/>
      <c r="H88" s="76"/>
      <c r="J88" t="s">
        <v>226</v>
      </c>
      <c r="L88" t="s">
        <v>227</v>
      </c>
      <c r="M88" s="226"/>
      <c r="N88" s="185"/>
      <c r="O88" s="81"/>
    </row>
    <row r="89" spans="6:15" x14ac:dyDescent="0.25">
      <c r="F89" s="76"/>
      <c r="G89" s="76"/>
      <c r="H89" s="76"/>
      <c r="J89" t="s">
        <v>230</v>
      </c>
      <c r="L89" t="s">
        <v>231</v>
      </c>
      <c r="M89" s="226">
        <v>46863</v>
      </c>
      <c r="N89" s="185"/>
    </row>
    <row r="90" spans="6:15" x14ac:dyDescent="0.25">
      <c r="F90" s="76"/>
      <c r="G90" s="76"/>
      <c r="H90" s="76"/>
      <c r="J90" t="s">
        <v>230</v>
      </c>
      <c r="L90" t="s">
        <v>231</v>
      </c>
      <c r="M90" s="226">
        <v>61871</v>
      </c>
      <c r="N90" s="185"/>
    </row>
    <row r="91" spans="6:15" x14ac:dyDescent="0.25">
      <c r="J91" t="s">
        <v>298</v>
      </c>
      <c r="L91" t="s">
        <v>231</v>
      </c>
      <c r="M91" s="226">
        <v>6078</v>
      </c>
      <c r="N91" s="227"/>
    </row>
    <row r="92" spans="6:15" x14ac:dyDescent="0.25">
      <c r="J92" t="s">
        <v>298</v>
      </c>
      <c r="L92" t="s">
        <v>231</v>
      </c>
      <c r="M92" s="226">
        <v>30761</v>
      </c>
      <c r="N92" s="227"/>
    </row>
    <row r="93" spans="6:15" x14ac:dyDescent="0.25">
      <c r="J93" t="s">
        <v>233</v>
      </c>
      <c r="L93" t="s">
        <v>234</v>
      </c>
      <c r="M93" s="226">
        <v>84973</v>
      </c>
      <c r="N93" s="227"/>
      <c r="O93" s="204"/>
    </row>
    <row r="94" spans="6:15" x14ac:dyDescent="0.25">
      <c r="J94" t="s">
        <v>233</v>
      </c>
      <c r="L94" t="s">
        <v>234</v>
      </c>
      <c r="M94" s="226">
        <v>2549</v>
      </c>
      <c r="N94" s="185"/>
      <c r="O94" s="81"/>
    </row>
    <row r="95" spans="6:15" x14ac:dyDescent="0.25">
      <c r="J95" t="s">
        <v>233</v>
      </c>
      <c r="L95" t="s">
        <v>234</v>
      </c>
      <c r="M95" s="226">
        <v>21129</v>
      </c>
      <c r="N95" s="227"/>
      <c r="O95" s="81"/>
    </row>
    <row r="96" spans="6:15" x14ac:dyDescent="0.25">
      <c r="J96" t="s">
        <v>236</v>
      </c>
      <c r="L96" t="s">
        <v>237</v>
      </c>
      <c r="M96" s="226"/>
      <c r="N96" s="81"/>
    </row>
    <row r="97" spans="10:14" x14ac:dyDescent="0.25">
      <c r="J97" t="s">
        <v>238</v>
      </c>
      <c r="L97" t="s">
        <v>239</v>
      </c>
      <c r="M97" s="226"/>
      <c r="N97" s="81"/>
    </row>
    <row r="98" spans="10:14" x14ac:dyDescent="0.25">
      <c r="J98" t="s">
        <v>213</v>
      </c>
      <c r="L98" t="s">
        <v>214</v>
      </c>
      <c r="M98" s="226">
        <v>138500</v>
      </c>
    </row>
    <row r="99" spans="10:14" x14ac:dyDescent="0.25">
      <c r="J99" t="s">
        <v>213</v>
      </c>
      <c r="L99" t="s">
        <v>214</v>
      </c>
      <c r="M99" s="226">
        <v>26443</v>
      </c>
    </row>
    <row r="100" spans="10:14" x14ac:dyDescent="0.25">
      <c r="J100" t="s">
        <v>212</v>
      </c>
      <c r="L100" t="s">
        <v>211</v>
      </c>
      <c r="M100" s="226">
        <v>2979</v>
      </c>
      <c r="N100" s="81"/>
    </row>
    <row r="101" spans="10:14" x14ac:dyDescent="0.25">
      <c r="J101" t="s">
        <v>240</v>
      </c>
      <c r="L101" t="s">
        <v>241</v>
      </c>
      <c r="M101" s="226">
        <v>29001</v>
      </c>
      <c r="N101" s="81"/>
    </row>
    <row r="102" spans="10:14" x14ac:dyDescent="0.25">
      <c r="J102" t="s">
        <v>215</v>
      </c>
      <c r="L102" t="s">
        <v>216</v>
      </c>
      <c r="M102" s="226">
        <v>263253</v>
      </c>
    </row>
    <row r="103" spans="10:14" x14ac:dyDescent="0.25">
      <c r="J103" t="s">
        <v>215</v>
      </c>
      <c r="L103" t="s">
        <v>216</v>
      </c>
      <c r="M103" s="226">
        <v>41867</v>
      </c>
    </row>
    <row r="104" spans="10:14" x14ac:dyDescent="0.25">
      <c r="J104" t="s">
        <v>296</v>
      </c>
      <c r="L104" t="s">
        <v>251</v>
      </c>
      <c r="M104" s="226">
        <v>173653</v>
      </c>
    </row>
    <row r="105" spans="10:14" x14ac:dyDescent="0.25">
      <c r="J105" t="s">
        <v>296</v>
      </c>
      <c r="L105" t="s">
        <v>251</v>
      </c>
      <c r="M105" s="226">
        <v>5210</v>
      </c>
    </row>
    <row r="106" spans="10:14" x14ac:dyDescent="0.25">
      <c r="J106" t="s">
        <v>296</v>
      </c>
      <c r="L106" t="s">
        <v>251</v>
      </c>
      <c r="M106" s="226">
        <v>24982</v>
      </c>
      <c r="N106" s="81"/>
    </row>
    <row r="107" spans="10:14" x14ac:dyDescent="0.25">
      <c r="J107" t="s">
        <v>217</v>
      </c>
      <c r="L107" t="s">
        <v>218</v>
      </c>
      <c r="M107" s="226">
        <v>50547</v>
      </c>
    </row>
    <row r="108" spans="10:14" x14ac:dyDescent="0.25">
      <c r="M108" s="80">
        <f>SUM(M70:M107)</f>
        <v>2164507</v>
      </c>
    </row>
  </sheetData>
  <autoFilter ref="B3:J67" xr:uid="{AD437713-0956-4FB3-A117-41ED94AB2F1B}"/>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9E122-3E8E-4EC1-BA2D-F47E726FD2E6}">
  <sheetPr filterMode="1"/>
  <dimension ref="A1:O92"/>
  <sheetViews>
    <sheetView topLeftCell="B1" workbookViewId="0">
      <selection activeCell="F36" sqref="F36"/>
    </sheetView>
  </sheetViews>
  <sheetFormatPr defaultColWidth="11.42578125" defaultRowHeight="15" x14ac:dyDescent="0.25"/>
  <cols>
    <col min="4" max="4" width="34.42578125" customWidth="1"/>
    <col min="5" max="5" width="15.140625" customWidth="1"/>
    <col min="6" max="7" width="15.140625" style="52" bestFit="1" customWidth="1"/>
    <col min="8" max="8" width="16.7109375" style="52" customWidth="1"/>
    <col min="9" max="9" width="28.5703125" bestFit="1" customWidth="1"/>
    <col min="11" max="11" width="20.42578125" customWidth="1"/>
    <col min="13" max="13" width="12.5703125" style="52" bestFit="1" customWidth="1"/>
  </cols>
  <sheetData>
    <row r="1" spans="1:11" x14ac:dyDescent="0.25">
      <c r="C1" s="2" t="s">
        <v>155</v>
      </c>
    </row>
    <row r="3" spans="1:11" x14ac:dyDescent="0.25">
      <c r="B3" s="2" t="s">
        <v>288</v>
      </c>
      <c r="C3" s="2" t="s">
        <v>150</v>
      </c>
      <c r="D3" s="2" t="s">
        <v>151</v>
      </c>
      <c r="E3" s="2"/>
      <c r="F3" s="212" t="s">
        <v>153</v>
      </c>
      <c r="G3" s="212" t="s">
        <v>154</v>
      </c>
      <c r="H3" s="212" t="s">
        <v>122</v>
      </c>
    </row>
    <row r="4" spans="1:11" hidden="1" x14ac:dyDescent="0.25">
      <c r="B4">
        <v>8</v>
      </c>
      <c r="C4">
        <v>2390</v>
      </c>
      <c r="D4" t="s">
        <v>152</v>
      </c>
      <c r="F4" s="76">
        <v>195479</v>
      </c>
      <c r="G4" s="76">
        <v>0</v>
      </c>
      <c r="H4" s="210">
        <f>F4-G4</f>
        <v>195479</v>
      </c>
      <c r="K4" s="204">
        <v>157086</v>
      </c>
    </row>
    <row r="5" spans="1:11" hidden="1" x14ac:dyDescent="0.25">
      <c r="B5">
        <v>14</v>
      </c>
      <c r="C5">
        <v>9050</v>
      </c>
      <c r="D5" t="s">
        <v>156</v>
      </c>
      <c r="F5" s="76">
        <v>1166012</v>
      </c>
      <c r="G5" s="76">
        <v>850799</v>
      </c>
      <c r="H5" s="210">
        <f>F5-G5</f>
        <v>315213</v>
      </c>
      <c r="I5" t="s">
        <v>249</v>
      </c>
      <c r="J5" t="s">
        <v>242</v>
      </c>
      <c r="K5" s="204">
        <v>586153</v>
      </c>
    </row>
    <row r="6" spans="1:11" hidden="1" x14ac:dyDescent="0.25">
      <c r="B6">
        <v>14</v>
      </c>
      <c r="C6">
        <v>9053</v>
      </c>
      <c r="D6" t="s">
        <v>207</v>
      </c>
      <c r="F6" s="76">
        <v>152123</v>
      </c>
      <c r="G6" s="76">
        <v>0</v>
      </c>
      <c r="H6" s="210">
        <f>F6-G6</f>
        <v>152123</v>
      </c>
      <c r="K6" s="204">
        <v>107560</v>
      </c>
    </row>
    <row r="7" spans="1:11" hidden="1" x14ac:dyDescent="0.25">
      <c r="B7">
        <v>1</v>
      </c>
      <c r="C7">
        <v>2020</v>
      </c>
      <c r="D7" t="s">
        <v>157</v>
      </c>
      <c r="F7" s="76">
        <v>28020</v>
      </c>
      <c r="G7" s="76">
        <v>0</v>
      </c>
      <c r="H7" s="210">
        <f t="shared" ref="H7:H63" si="0">F7-G7</f>
        <v>28020</v>
      </c>
      <c r="K7" s="208">
        <f>SUM(K4:K6)</f>
        <v>850799</v>
      </c>
    </row>
    <row r="8" spans="1:11" hidden="1" x14ac:dyDescent="0.25">
      <c r="B8">
        <v>1</v>
      </c>
      <c r="C8">
        <v>2042</v>
      </c>
      <c r="D8" t="s">
        <v>158</v>
      </c>
      <c r="F8" s="76">
        <v>6869</v>
      </c>
      <c r="G8" s="76">
        <v>7789</v>
      </c>
      <c r="H8" s="210">
        <f t="shared" si="0"/>
        <v>-920</v>
      </c>
      <c r="I8" t="s">
        <v>239</v>
      </c>
    </row>
    <row r="9" spans="1:11" hidden="1" x14ac:dyDescent="0.25">
      <c r="B9">
        <v>1</v>
      </c>
      <c r="C9">
        <v>2625</v>
      </c>
      <c r="D9" t="s">
        <v>159</v>
      </c>
      <c r="F9" s="76">
        <v>680000</v>
      </c>
      <c r="G9" s="76">
        <v>541419</v>
      </c>
      <c r="H9" s="210">
        <f t="shared" si="0"/>
        <v>138581</v>
      </c>
      <c r="I9" t="s">
        <v>247</v>
      </c>
      <c r="J9" s="185" t="s">
        <v>257</v>
      </c>
    </row>
    <row r="10" spans="1:11" hidden="1" x14ac:dyDescent="0.25">
      <c r="C10">
        <v>2632</v>
      </c>
      <c r="D10" t="s">
        <v>160</v>
      </c>
      <c r="F10" s="76">
        <v>0</v>
      </c>
      <c r="G10" s="76">
        <v>16977</v>
      </c>
      <c r="H10" s="210">
        <f t="shared" si="0"/>
        <v>-16977</v>
      </c>
      <c r="I10" t="s">
        <v>248</v>
      </c>
      <c r="J10" s="185" t="s">
        <v>257</v>
      </c>
      <c r="K10">
        <v>920</v>
      </c>
    </row>
    <row r="11" spans="1:11" hidden="1" x14ac:dyDescent="0.25">
      <c r="B11">
        <v>8</v>
      </c>
      <c r="C11">
        <v>2370</v>
      </c>
      <c r="D11" t="s">
        <v>161</v>
      </c>
      <c r="F11" s="76">
        <v>1592050</v>
      </c>
      <c r="G11" s="76">
        <f>1592050</f>
        <v>1592050</v>
      </c>
      <c r="H11" s="210">
        <f t="shared" si="0"/>
        <v>0</v>
      </c>
      <c r="I11" t="s">
        <v>246</v>
      </c>
      <c r="J11" s="185" t="s">
        <v>228</v>
      </c>
      <c r="K11" s="204">
        <v>6869</v>
      </c>
    </row>
    <row r="12" spans="1:11" hidden="1" x14ac:dyDescent="0.25">
      <c r="B12">
        <v>4</v>
      </c>
      <c r="C12">
        <v>2360</v>
      </c>
      <c r="D12" t="s">
        <v>162</v>
      </c>
      <c r="F12" s="76">
        <v>289989</v>
      </c>
      <c r="G12" s="76">
        <v>313430</v>
      </c>
      <c r="H12" s="210">
        <f t="shared" si="0"/>
        <v>-23441</v>
      </c>
      <c r="I12" t="s">
        <v>245</v>
      </c>
      <c r="J12" s="185" t="s">
        <v>257</v>
      </c>
      <c r="K12" s="2">
        <f>SUM(K9:K11)</f>
        <v>7789</v>
      </c>
    </row>
    <row r="13" spans="1:11" hidden="1" x14ac:dyDescent="0.25">
      <c r="B13">
        <v>11</v>
      </c>
      <c r="C13">
        <v>2685</v>
      </c>
      <c r="D13" t="s">
        <v>163</v>
      </c>
      <c r="F13" s="76">
        <v>89863</v>
      </c>
      <c r="G13" s="76">
        <f>89863</f>
        <v>89863</v>
      </c>
      <c r="H13" s="210">
        <f t="shared" si="0"/>
        <v>0</v>
      </c>
      <c r="I13" t="s">
        <v>237</v>
      </c>
    </row>
    <row r="14" spans="1:11" hidden="1" x14ac:dyDescent="0.25">
      <c r="B14">
        <v>4</v>
      </c>
      <c r="C14">
        <v>2280</v>
      </c>
      <c r="D14" t="s">
        <v>164</v>
      </c>
      <c r="F14" s="76">
        <v>6876099</v>
      </c>
      <c r="G14" s="76">
        <v>9823446</v>
      </c>
      <c r="H14" s="210">
        <f t="shared" si="0"/>
        <v>-2947347</v>
      </c>
      <c r="I14" t="s">
        <v>258</v>
      </c>
      <c r="K14" s="204">
        <v>63930</v>
      </c>
    </row>
    <row r="15" spans="1:11" hidden="1" x14ac:dyDescent="0.25">
      <c r="B15">
        <v>4</v>
      </c>
      <c r="C15">
        <v>2285</v>
      </c>
      <c r="D15" t="s">
        <v>165</v>
      </c>
      <c r="F15" s="76">
        <v>169373</v>
      </c>
      <c r="G15" s="76">
        <v>0</v>
      </c>
      <c r="H15" s="210">
        <f t="shared" si="0"/>
        <v>169373</v>
      </c>
      <c r="K15" s="204">
        <v>477489</v>
      </c>
    </row>
    <row r="16" spans="1:11" hidden="1" x14ac:dyDescent="0.25">
      <c r="A16" t="s">
        <v>290</v>
      </c>
      <c r="B16">
        <v>4</v>
      </c>
      <c r="C16">
        <v>2314</v>
      </c>
      <c r="D16" t="s">
        <v>289</v>
      </c>
      <c r="F16" s="76">
        <v>181437</v>
      </c>
      <c r="G16" s="76">
        <v>0</v>
      </c>
      <c r="H16" s="211">
        <f t="shared" si="0"/>
        <v>181437</v>
      </c>
      <c r="K16" s="208">
        <f>SUM(K14:K15)</f>
        <v>541419</v>
      </c>
    </row>
    <row r="17" spans="1:12" hidden="1" x14ac:dyDescent="0.25">
      <c r="B17">
        <v>4</v>
      </c>
      <c r="C17">
        <v>2355</v>
      </c>
      <c r="D17" t="s">
        <v>166</v>
      </c>
      <c r="F17" s="76">
        <v>1134174</v>
      </c>
      <c r="G17" s="76">
        <v>0</v>
      </c>
      <c r="H17" s="210">
        <f t="shared" si="0"/>
        <v>1134174</v>
      </c>
    </row>
    <row r="18" spans="1:12" hidden="1" x14ac:dyDescent="0.25">
      <c r="C18">
        <v>2365</v>
      </c>
      <c r="D18" t="s">
        <v>167</v>
      </c>
      <c r="F18" s="76">
        <v>0</v>
      </c>
      <c r="G18" s="76">
        <v>0</v>
      </c>
      <c r="H18" s="210">
        <f t="shared" si="0"/>
        <v>0</v>
      </c>
      <c r="K18" s="204">
        <v>14972</v>
      </c>
    </row>
    <row r="19" spans="1:12" hidden="1" x14ac:dyDescent="0.25">
      <c r="B19">
        <v>4</v>
      </c>
      <c r="C19">
        <v>2540</v>
      </c>
      <c r="D19" t="s">
        <v>168</v>
      </c>
      <c r="F19" s="76">
        <v>1152865</v>
      </c>
      <c r="G19" s="76">
        <v>0</v>
      </c>
      <c r="H19" s="210">
        <f t="shared" si="0"/>
        <v>1152865</v>
      </c>
      <c r="K19" s="204">
        <v>2005</v>
      </c>
    </row>
    <row r="20" spans="1:12" hidden="1" x14ac:dyDescent="0.25">
      <c r="A20" t="s">
        <v>290</v>
      </c>
      <c r="B20">
        <v>4</v>
      </c>
      <c r="C20">
        <v>3002</v>
      </c>
      <c r="D20" t="s">
        <v>291</v>
      </c>
      <c r="F20" s="76">
        <v>1631736</v>
      </c>
      <c r="G20" s="76">
        <v>0</v>
      </c>
      <c r="H20" s="210">
        <f t="shared" si="0"/>
        <v>1631736</v>
      </c>
      <c r="K20" s="208">
        <f>SUM(K18:K19)</f>
        <v>16977</v>
      </c>
    </row>
    <row r="21" spans="1:12" hidden="1" x14ac:dyDescent="0.25">
      <c r="B21">
        <v>5</v>
      </c>
      <c r="C21">
        <v>3257</v>
      </c>
      <c r="D21" t="s">
        <v>169</v>
      </c>
      <c r="F21" s="76">
        <v>52396</v>
      </c>
      <c r="G21" s="76">
        <v>52396</v>
      </c>
      <c r="H21" s="210">
        <f t="shared" si="0"/>
        <v>0</v>
      </c>
      <c r="I21" t="s">
        <v>227</v>
      </c>
      <c r="J21" s="185" t="s">
        <v>255</v>
      </c>
    </row>
    <row r="22" spans="1:12" hidden="1" x14ac:dyDescent="0.25">
      <c r="B22">
        <v>5</v>
      </c>
      <c r="C22">
        <v>3260</v>
      </c>
      <c r="D22" t="s">
        <v>170</v>
      </c>
      <c r="F22" s="76">
        <v>36272</v>
      </c>
      <c r="G22" s="76">
        <v>36272</v>
      </c>
      <c r="H22" s="210">
        <f t="shared" si="0"/>
        <v>0</v>
      </c>
      <c r="I22" t="s">
        <v>227</v>
      </c>
      <c r="J22" s="185" t="s">
        <v>254</v>
      </c>
      <c r="K22" s="204">
        <v>1592050</v>
      </c>
    </row>
    <row r="23" spans="1:12" hidden="1" x14ac:dyDescent="0.25">
      <c r="B23">
        <v>5</v>
      </c>
      <c r="C23">
        <v>9000</v>
      </c>
      <c r="D23" t="s">
        <v>171</v>
      </c>
      <c r="F23" s="76">
        <v>195103</v>
      </c>
      <c r="G23" s="76">
        <f>5210+173653</f>
        <v>178863</v>
      </c>
      <c r="H23" s="210">
        <f t="shared" si="0"/>
        <v>16240</v>
      </c>
      <c r="I23" t="s">
        <v>251</v>
      </c>
    </row>
    <row r="24" spans="1:12" hidden="1" x14ac:dyDescent="0.25">
      <c r="B24">
        <v>5</v>
      </c>
      <c r="C24">
        <v>9051</v>
      </c>
      <c r="D24" t="s">
        <v>172</v>
      </c>
      <c r="F24" s="76">
        <v>36557</v>
      </c>
      <c r="G24" s="76">
        <v>0</v>
      </c>
      <c r="H24" s="210">
        <f t="shared" si="0"/>
        <v>36557</v>
      </c>
      <c r="K24" s="204">
        <v>276420</v>
      </c>
    </row>
    <row r="25" spans="1:12" hidden="1" x14ac:dyDescent="0.25">
      <c r="B25">
        <v>5</v>
      </c>
      <c r="C25">
        <v>9070</v>
      </c>
      <c r="D25" t="s">
        <v>173</v>
      </c>
      <c r="F25" s="76">
        <v>86013</v>
      </c>
      <c r="G25" s="76">
        <v>86013</v>
      </c>
      <c r="H25" s="210">
        <f t="shared" si="0"/>
        <v>0</v>
      </c>
      <c r="I25" t="s">
        <v>231</v>
      </c>
      <c r="J25" s="185" t="s">
        <v>254</v>
      </c>
      <c r="K25" s="204">
        <v>37010</v>
      </c>
    </row>
    <row r="26" spans="1:12" hidden="1" x14ac:dyDescent="0.25">
      <c r="B26">
        <v>5</v>
      </c>
      <c r="C26">
        <v>9071</v>
      </c>
      <c r="D26" t="s">
        <v>174</v>
      </c>
      <c r="F26" s="76">
        <v>7880</v>
      </c>
      <c r="G26" s="76">
        <v>7880</v>
      </c>
      <c r="H26" s="210">
        <f t="shared" si="0"/>
        <v>0</v>
      </c>
      <c r="I26" t="s">
        <v>231</v>
      </c>
      <c r="J26" s="185" t="s">
        <v>229</v>
      </c>
      <c r="K26" s="208">
        <f>SUM(K24:K25)</f>
        <v>313430</v>
      </c>
    </row>
    <row r="27" spans="1:12" hidden="1" x14ac:dyDescent="0.25">
      <c r="B27">
        <v>5</v>
      </c>
      <c r="C27">
        <v>9075</v>
      </c>
      <c r="D27" t="s">
        <v>175</v>
      </c>
      <c r="F27" s="76">
        <v>10478</v>
      </c>
      <c r="G27" s="76">
        <v>0</v>
      </c>
      <c r="H27" s="210">
        <f t="shared" si="0"/>
        <v>10478</v>
      </c>
    </row>
    <row r="28" spans="1:12" hidden="1" x14ac:dyDescent="0.25">
      <c r="B28">
        <v>5</v>
      </c>
      <c r="C28">
        <v>9080</v>
      </c>
      <c r="D28" t="s">
        <v>176</v>
      </c>
      <c r="F28" s="76">
        <v>1240370</v>
      </c>
      <c r="G28" s="76">
        <f>400000+400000+400000+400000</f>
        <v>1600000</v>
      </c>
      <c r="H28" s="210">
        <f t="shared" si="0"/>
        <v>-359630</v>
      </c>
      <c r="K28" s="204">
        <v>89863</v>
      </c>
    </row>
    <row r="29" spans="1:12" hidden="1" x14ac:dyDescent="0.25">
      <c r="B29">
        <v>5</v>
      </c>
      <c r="C29">
        <v>9100</v>
      </c>
      <c r="D29" t="s">
        <v>177</v>
      </c>
      <c r="F29" s="76">
        <v>72573</v>
      </c>
      <c r="G29" s="76">
        <v>0</v>
      </c>
      <c r="H29" s="210">
        <f t="shared" si="0"/>
        <v>72573</v>
      </c>
    </row>
    <row r="30" spans="1:12" hidden="1" x14ac:dyDescent="0.25">
      <c r="B30">
        <v>5</v>
      </c>
      <c r="C30">
        <v>9105</v>
      </c>
      <c r="D30" t="s">
        <v>178</v>
      </c>
      <c r="F30" s="76">
        <v>219274</v>
      </c>
      <c r="G30" s="76">
        <v>0</v>
      </c>
      <c r="H30" s="210">
        <f t="shared" si="0"/>
        <v>219274</v>
      </c>
      <c r="I30" t="s">
        <v>220</v>
      </c>
      <c r="K30" s="204">
        <v>9823446</v>
      </c>
    </row>
    <row r="31" spans="1:12" hidden="1" x14ac:dyDescent="0.25">
      <c r="B31">
        <v>5</v>
      </c>
      <c r="C31">
        <v>9106</v>
      </c>
      <c r="D31" t="s">
        <v>179</v>
      </c>
      <c r="F31" s="76">
        <v>41809</v>
      </c>
      <c r="G31" s="76">
        <v>26006</v>
      </c>
      <c r="H31" s="210">
        <f t="shared" si="0"/>
        <v>15803</v>
      </c>
      <c r="I31" t="s">
        <v>224</v>
      </c>
      <c r="J31" s="185" t="s">
        <v>253</v>
      </c>
    </row>
    <row r="32" spans="1:12" hidden="1" x14ac:dyDescent="0.25">
      <c r="B32">
        <v>5</v>
      </c>
      <c r="C32">
        <v>9107</v>
      </c>
      <c r="D32" t="s">
        <v>180</v>
      </c>
      <c r="F32" s="76">
        <v>1904</v>
      </c>
      <c r="G32" s="76">
        <v>1904</v>
      </c>
      <c r="H32" s="210">
        <f t="shared" si="0"/>
        <v>0</v>
      </c>
      <c r="I32" t="s">
        <v>224</v>
      </c>
      <c r="J32" s="185" t="s">
        <v>228</v>
      </c>
      <c r="K32" s="205"/>
      <c r="L32" s="204"/>
    </row>
    <row r="33" spans="1:12" hidden="1" x14ac:dyDescent="0.25">
      <c r="A33" t="s">
        <v>290</v>
      </c>
      <c r="B33">
        <v>5</v>
      </c>
      <c r="C33">
        <v>9125</v>
      </c>
      <c r="D33" t="s">
        <v>292</v>
      </c>
      <c r="F33" s="76">
        <v>8736</v>
      </c>
      <c r="G33" s="76">
        <v>0</v>
      </c>
      <c r="H33" s="210">
        <f t="shared" si="0"/>
        <v>8736</v>
      </c>
      <c r="J33" s="185"/>
      <c r="K33" s="204">
        <v>18052</v>
      </c>
    </row>
    <row r="34" spans="1:12" hidden="1" x14ac:dyDescent="0.25">
      <c r="B34">
        <v>5</v>
      </c>
      <c r="C34">
        <v>9275</v>
      </c>
      <c r="D34" t="s">
        <v>181</v>
      </c>
      <c r="F34" s="76">
        <v>28540</v>
      </c>
      <c r="G34" s="76">
        <v>18052</v>
      </c>
      <c r="H34" s="210">
        <f t="shared" si="0"/>
        <v>10488</v>
      </c>
      <c r="I34" t="s">
        <v>227</v>
      </c>
      <c r="J34" s="185" t="s">
        <v>232</v>
      </c>
    </row>
    <row r="35" spans="1:12" hidden="1" x14ac:dyDescent="0.25">
      <c r="B35">
        <v>5</v>
      </c>
      <c r="C35">
        <v>9300</v>
      </c>
      <c r="D35" t="s">
        <v>182</v>
      </c>
      <c r="F35" s="76">
        <v>339811</v>
      </c>
      <c r="G35" s="76">
        <v>0</v>
      </c>
      <c r="H35" s="210">
        <f t="shared" si="0"/>
        <v>339811</v>
      </c>
    </row>
    <row r="36" spans="1:12" x14ac:dyDescent="0.25">
      <c r="B36">
        <v>5</v>
      </c>
      <c r="C36">
        <v>9301</v>
      </c>
      <c r="D36" t="s">
        <v>59</v>
      </c>
      <c r="F36" s="76">
        <v>1175142</v>
      </c>
      <c r="G36" s="76">
        <f>525000</f>
        <v>525000</v>
      </c>
      <c r="H36" s="210">
        <f t="shared" si="0"/>
        <v>650142</v>
      </c>
      <c r="I36" t="s">
        <v>259</v>
      </c>
      <c r="J36" t="s">
        <v>148</v>
      </c>
      <c r="K36" s="204">
        <v>36272</v>
      </c>
    </row>
    <row r="37" spans="1:12" hidden="1" x14ac:dyDescent="0.25">
      <c r="B37">
        <v>5</v>
      </c>
      <c r="C37">
        <v>9317</v>
      </c>
      <c r="D37" t="s">
        <v>59</v>
      </c>
      <c r="F37" s="76">
        <v>17000</v>
      </c>
      <c r="G37" s="76">
        <v>17000</v>
      </c>
      <c r="H37" s="210">
        <f t="shared" si="0"/>
        <v>0</v>
      </c>
      <c r="I37" t="s">
        <v>260</v>
      </c>
      <c r="J37" t="s">
        <v>148</v>
      </c>
    </row>
    <row r="38" spans="1:12" hidden="1" x14ac:dyDescent="0.25">
      <c r="B38">
        <v>5</v>
      </c>
      <c r="C38">
        <v>9302</v>
      </c>
      <c r="D38" t="s">
        <v>183</v>
      </c>
      <c r="F38" s="76">
        <v>1275977</v>
      </c>
      <c r="G38" s="76">
        <v>1242851</v>
      </c>
      <c r="H38" s="210">
        <f t="shared" si="0"/>
        <v>33126</v>
      </c>
      <c r="I38" t="s">
        <v>256</v>
      </c>
      <c r="K38" s="204">
        <v>52396</v>
      </c>
      <c r="L38" s="204">
        <v>30000</v>
      </c>
    </row>
    <row r="39" spans="1:12" hidden="1" x14ac:dyDescent="0.25">
      <c r="A39" t="s">
        <v>290</v>
      </c>
      <c r="B39">
        <v>5</v>
      </c>
      <c r="C39">
        <v>9306</v>
      </c>
      <c r="D39" t="s">
        <v>293</v>
      </c>
      <c r="F39" s="76">
        <v>11277</v>
      </c>
      <c r="G39" s="76">
        <v>0</v>
      </c>
      <c r="H39" s="210">
        <f t="shared" si="0"/>
        <v>11277</v>
      </c>
      <c r="L39" s="204">
        <v>2311</v>
      </c>
    </row>
    <row r="40" spans="1:12" hidden="1" x14ac:dyDescent="0.25">
      <c r="B40">
        <v>5</v>
      </c>
      <c r="C40">
        <v>9307</v>
      </c>
      <c r="D40" t="s">
        <v>184</v>
      </c>
      <c r="F40" s="76">
        <v>20515</v>
      </c>
      <c r="G40" s="76">
        <v>21434</v>
      </c>
      <c r="H40" s="210">
        <f t="shared" si="0"/>
        <v>-919</v>
      </c>
      <c r="I40" t="s">
        <v>252</v>
      </c>
      <c r="K40" s="204">
        <v>26006</v>
      </c>
      <c r="L40" s="204">
        <v>19123</v>
      </c>
    </row>
    <row r="41" spans="1:12" hidden="1" x14ac:dyDescent="0.25">
      <c r="B41">
        <v>5</v>
      </c>
      <c r="C41">
        <v>9315</v>
      </c>
      <c r="D41" t="s">
        <v>185</v>
      </c>
      <c r="F41" s="76">
        <v>7915</v>
      </c>
      <c r="G41" s="76">
        <v>0</v>
      </c>
      <c r="H41" s="210">
        <f t="shared" si="0"/>
        <v>7915</v>
      </c>
      <c r="K41" s="204">
        <v>1904</v>
      </c>
      <c r="L41" s="208">
        <f>SUM(L39:L40)</f>
        <v>21434</v>
      </c>
    </row>
    <row r="42" spans="1:12" hidden="1" x14ac:dyDescent="0.25">
      <c r="B42">
        <v>5</v>
      </c>
      <c r="C42">
        <v>9320</v>
      </c>
      <c r="D42" t="s">
        <v>187</v>
      </c>
      <c r="F42" s="76">
        <v>30000</v>
      </c>
      <c r="G42" s="76">
        <v>30000</v>
      </c>
      <c r="H42" s="210">
        <f t="shared" si="0"/>
        <v>0</v>
      </c>
      <c r="I42" t="s">
        <v>250</v>
      </c>
      <c r="J42" t="s">
        <v>243</v>
      </c>
    </row>
    <row r="43" spans="1:12" hidden="1" x14ac:dyDescent="0.25">
      <c r="B43">
        <v>5</v>
      </c>
      <c r="C43">
        <v>9400</v>
      </c>
      <c r="D43" t="s">
        <v>188</v>
      </c>
      <c r="F43" s="76">
        <v>61871</v>
      </c>
      <c r="G43" s="76">
        <v>61871</v>
      </c>
      <c r="H43" s="210">
        <f t="shared" si="0"/>
        <v>0</v>
      </c>
      <c r="I43" t="s">
        <v>231</v>
      </c>
      <c r="J43" s="185" t="s">
        <v>255</v>
      </c>
      <c r="K43" s="204"/>
    </row>
    <row r="44" spans="1:12" hidden="1" x14ac:dyDescent="0.25">
      <c r="A44" s="40"/>
      <c r="B44">
        <v>5</v>
      </c>
      <c r="C44">
        <v>9401</v>
      </c>
      <c r="D44" t="s">
        <v>189</v>
      </c>
      <c r="F44" s="76">
        <v>149791</v>
      </c>
      <c r="G44" s="76">
        <v>0</v>
      </c>
      <c r="H44" s="210">
        <f t="shared" si="0"/>
        <v>149791</v>
      </c>
    </row>
    <row r="45" spans="1:12" hidden="1" x14ac:dyDescent="0.25">
      <c r="B45">
        <v>5</v>
      </c>
      <c r="C45">
        <v>9450</v>
      </c>
      <c r="D45" t="s">
        <v>190</v>
      </c>
      <c r="F45" s="76">
        <v>112461</v>
      </c>
      <c r="G45" s="76">
        <v>0</v>
      </c>
      <c r="H45" s="210">
        <f t="shared" si="0"/>
        <v>112461</v>
      </c>
    </row>
    <row r="46" spans="1:12" hidden="1" x14ac:dyDescent="0.25">
      <c r="B46">
        <v>5</v>
      </c>
      <c r="C46">
        <v>9475</v>
      </c>
      <c r="D46" t="s">
        <v>294</v>
      </c>
      <c r="F46" s="76">
        <v>13920</v>
      </c>
      <c r="G46" s="76">
        <v>0</v>
      </c>
      <c r="H46" s="210">
        <f t="shared" si="0"/>
        <v>13920</v>
      </c>
      <c r="K46" s="204">
        <v>86013</v>
      </c>
    </row>
    <row r="47" spans="1:12" hidden="1" x14ac:dyDescent="0.25">
      <c r="B47">
        <v>6</v>
      </c>
      <c r="C47">
        <v>2512</v>
      </c>
      <c r="D47" t="s">
        <v>191</v>
      </c>
      <c r="F47" s="76">
        <v>36614</v>
      </c>
      <c r="G47" s="76">
        <v>0</v>
      </c>
      <c r="H47" s="210">
        <f t="shared" si="0"/>
        <v>36614</v>
      </c>
      <c r="K47" s="204">
        <v>7880</v>
      </c>
    </row>
    <row r="48" spans="1:12" hidden="1" x14ac:dyDescent="0.25">
      <c r="B48">
        <v>6</v>
      </c>
      <c r="C48">
        <v>2513</v>
      </c>
      <c r="D48" t="s">
        <v>192</v>
      </c>
      <c r="F48" s="76">
        <v>96887</v>
      </c>
      <c r="G48" s="76">
        <v>0</v>
      </c>
      <c r="H48" s="210">
        <f t="shared" si="0"/>
        <v>96887</v>
      </c>
      <c r="K48" s="204">
        <v>61871</v>
      </c>
    </row>
    <row r="49" spans="1:11" hidden="1" x14ac:dyDescent="0.25">
      <c r="B49">
        <v>6</v>
      </c>
      <c r="C49">
        <v>2514</v>
      </c>
      <c r="D49" t="s">
        <v>193</v>
      </c>
      <c r="F49" s="76">
        <v>48694</v>
      </c>
      <c r="G49" s="76">
        <v>0</v>
      </c>
      <c r="H49" s="210">
        <f t="shared" si="0"/>
        <v>48694</v>
      </c>
    </row>
    <row r="50" spans="1:11" hidden="1" x14ac:dyDescent="0.25">
      <c r="B50">
        <v>6</v>
      </c>
      <c r="C50">
        <v>2517</v>
      </c>
      <c r="D50" t="s">
        <v>194</v>
      </c>
      <c r="F50" s="76">
        <v>151900</v>
      </c>
      <c r="G50" s="76">
        <f>151900</f>
        <v>151900</v>
      </c>
      <c r="H50" s="210">
        <f t="shared" si="0"/>
        <v>0</v>
      </c>
      <c r="I50" t="s">
        <v>241</v>
      </c>
    </row>
    <row r="51" spans="1:11" hidden="1" x14ac:dyDescent="0.25">
      <c r="B51">
        <v>6</v>
      </c>
      <c r="C51">
        <v>2518</v>
      </c>
      <c r="D51" t="s">
        <v>195</v>
      </c>
      <c r="F51" s="76">
        <v>487170</v>
      </c>
      <c r="G51" s="76">
        <v>0</v>
      </c>
      <c r="H51" s="210">
        <f t="shared" si="0"/>
        <v>487170</v>
      </c>
    </row>
    <row r="52" spans="1:11" hidden="1" x14ac:dyDescent="0.25">
      <c r="C52">
        <v>2521</v>
      </c>
      <c r="D52" t="s">
        <v>196</v>
      </c>
      <c r="F52" s="76">
        <v>0</v>
      </c>
      <c r="G52" s="76">
        <v>0</v>
      </c>
      <c r="H52" s="210">
        <f t="shared" si="0"/>
        <v>0</v>
      </c>
    </row>
    <row r="53" spans="1:11" hidden="1" x14ac:dyDescent="0.25">
      <c r="B53">
        <v>6</v>
      </c>
      <c r="C53">
        <v>4350</v>
      </c>
      <c r="D53" t="s">
        <v>295</v>
      </c>
      <c r="F53" s="76">
        <v>110350</v>
      </c>
      <c r="G53" s="76">
        <v>0</v>
      </c>
      <c r="H53" s="210">
        <f t="shared" si="0"/>
        <v>110350</v>
      </c>
      <c r="K53" s="204">
        <v>5210</v>
      </c>
    </row>
    <row r="54" spans="1:11" hidden="1" x14ac:dyDescent="0.25">
      <c r="B54">
        <v>6</v>
      </c>
      <c r="C54">
        <v>4235</v>
      </c>
      <c r="D54" t="s">
        <v>198</v>
      </c>
      <c r="F54" s="76">
        <v>101789</v>
      </c>
      <c r="G54" s="76">
        <v>0</v>
      </c>
      <c r="H54" s="210">
        <f t="shared" si="0"/>
        <v>101789</v>
      </c>
      <c r="K54" s="204">
        <v>173653</v>
      </c>
    </row>
    <row r="55" spans="1:11" hidden="1" x14ac:dyDescent="0.25">
      <c r="B55">
        <v>6</v>
      </c>
      <c r="C55">
        <v>8200</v>
      </c>
      <c r="D55" t="s">
        <v>199</v>
      </c>
      <c r="F55" s="76">
        <v>29394</v>
      </c>
      <c r="G55" s="76">
        <v>0</v>
      </c>
      <c r="H55" s="210">
        <f t="shared" si="0"/>
        <v>29394</v>
      </c>
    </row>
    <row r="56" spans="1:11" hidden="1" x14ac:dyDescent="0.25">
      <c r="A56" s="40"/>
      <c r="B56">
        <v>6</v>
      </c>
      <c r="C56">
        <v>8769</v>
      </c>
      <c r="D56" t="s">
        <v>200</v>
      </c>
      <c r="F56" s="76">
        <v>58248</v>
      </c>
      <c r="G56" s="76">
        <v>0</v>
      </c>
      <c r="H56" s="210">
        <f t="shared" si="0"/>
        <v>58248</v>
      </c>
      <c r="K56" s="204">
        <v>52530</v>
      </c>
    </row>
    <row r="57" spans="1:11" hidden="1" x14ac:dyDescent="0.25">
      <c r="B57">
        <v>6</v>
      </c>
      <c r="C57">
        <v>8999</v>
      </c>
      <c r="D57" t="s">
        <v>201</v>
      </c>
      <c r="F57" s="76">
        <v>277000</v>
      </c>
      <c r="G57" s="76">
        <v>0</v>
      </c>
      <c r="H57" s="210">
        <f t="shared" si="0"/>
        <v>277000</v>
      </c>
      <c r="K57" s="204">
        <v>93500</v>
      </c>
    </row>
    <row r="58" spans="1:11" hidden="1" x14ac:dyDescent="0.25">
      <c r="B58">
        <v>7</v>
      </c>
      <c r="C58">
        <v>2480</v>
      </c>
      <c r="D58" t="s">
        <v>202</v>
      </c>
      <c r="F58" s="76">
        <v>13400</v>
      </c>
      <c r="G58" s="76">
        <v>0</v>
      </c>
      <c r="H58" s="210">
        <f t="shared" si="0"/>
        <v>13400</v>
      </c>
      <c r="K58" s="204">
        <v>140454</v>
      </c>
    </row>
    <row r="59" spans="1:11" hidden="1" x14ac:dyDescent="0.25">
      <c r="B59">
        <v>7</v>
      </c>
      <c r="C59">
        <v>2511</v>
      </c>
      <c r="D59" t="s">
        <v>203</v>
      </c>
      <c r="F59" s="76">
        <v>24759</v>
      </c>
      <c r="G59" s="76">
        <v>0</v>
      </c>
      <c r="H59" s="210">
        <f t="shared" si="0"/>
        <v>24759</v>
      </c>
      <c r="K59" s="204">
        <v>46818</v>
      </c>
    </row>
    <row r="60" spans="1:11" hidden="1" x14ac:dyDescent="0.25">
      <c r="B60">
        <v>7</v>
      </c>
      <c r="C60">
        <v>2520</v>
      </c>
      <c r="D60" t="s">
        <v>204</v>
      </c>
      <c r="F60" s="76">
        <v>14400</v>
      </c>
      <c r="G60" s="76">
        <v>0</v>
      </c>
      <c r="H60" s="210">
        <f t="shared" si="0"/>
        <v>14400</v>
      </c>
      <c r="K60" s="204">
        <v>191998</v>
      </c>
    </row>
    <row r="61" spans="1:11" hidden="1" x14ac:dyDescent="0.25">
      <c r="B61">
        <v>8</v>
      </c>
      <c r="C61">
        <v>2401</v>
      </c>
      <c r="D61" t="s">
        <v>205</v>
      </c>
      <c r="F61" s="76">
        <v>135743</v>
      </c>
      <c r="G61" s="76">
        <v>213155</v>
      </c>
      <c r="H61" s="210">
        <f t="shared" si="0"/>
        <v>-77412</v>
      </c>
      <c r="J61" s="185"/>
      <c r="K61" s="204">
        <v>17000</v>
      </c>
    </row>
    <row r="62" spans="1:11" hidden="1" x14ac:dyDescent="0.25">
      <c r="B62">
        <v>9</v>
      </c>
      <c r="C62">
        <v>2573</v>
      </c>
      <c r="D62" t="s">
        <v>265</v>
      </c>
      <c r="F62" s="76">
        <v>457859</v>
      </c>
      <c r="G62" s="76">
        <v>0</v>
      </c>
      <c r="H62" s="210">
        <f t="shared" si="0"/>
        <v>457859</v>
      </c>
      <c r="J62" s="185"/>
      <c r="K62" s="204">
        <v>151900</v>
      </c>
    </row>
    <row r="63" spans="1:11" hidden="1" x14ac:dyDescent="0.25">
      <c r="B63">
        <v>9</v>
      </c>
      <c r="C63">
        <v>2581</v>
      </c>
      <c r="D63" t="s">
        <v>206</v>
      </c>
      <c r="F63" s="76">
        <v>28739</v>
      </c>
      <c r="G63" s="76">
        <v>0</v>
      </c>
      <c r="H63" s="210">
        <f t="shared" si="0"/>
        <v>28739</v>
      </c>
      <c r="K63" s="204">
        <v>213155</v>
      </c>
    </row>
    <row r="64" spans="1:11" x14ac:dyDescent="0.25">
      <c r="F64" s="210">
        <f>SUM(F4:F63)</f>
        <v>22672620</v>
      </c>
      <c r="G64" s="210">
        <f>SUM(G4:G63)</f>
        <v>17506370</v>
      </c>
      <c r="H64" s="76"/>
      <c r="K64" s="204">
        <v>1242851</v>
      </c>
    </row>
    <row r="65" spans="6:14" x14ac:dyDescent="0.25">
      <c r="F65" s="76"/>
      <c r="G65" s="76"/>
      <c r="H65" s="76"/>
    </row>
    <row r="66" spans="6:14" x14ac:dyDescent="0.25">
      <c r="F66" s="76"/>
      <c r="G66" s="210">
        <f>G64+M92</f>
        <v>19434999</v>
      </c>
      <c r="H66" s="76"/>
      <c r="J66" t="s">
        <v>297</v>
      </c>
      <c r="L66" t="s">
        <v>256</v>
      </c>
      <c r="M66" s="209">
        <v>90294</v>
      </c>
    </row>
    <row r="67" spans="6:14" x14ac:dyDescent="0.25">
      <c r="F67" s="76"/>
      <c r="G67" s="210">
        <v>19434713</v>
      </c>
      <c r="H67" s="76"/>
      <c r="J67" t="s">
        <v>212</v>
      </c>
      <c r="L67" t="s">
        <v>211</v>
      </c>
      <c r="M67" s="209">
        <v>15600</v>
      </c>
    </row>
    <row r="68" spans="6:14" x14ac:dyDescent="0.25">
      <c r="F68" s="76"/>
      <c r="G68" s="76">
        <f>G67-G66</f>
        <v>-286</v>
      </c>
      <c r="H68" s="76"/>
      <c r="J68" t="s">
        <v>213</v>
      </c>
      <c r="L68" t="s">
        <v>214</v>
      </c>
      <c r="M68" s="209">
        <v>138500</v>
      </c>
    </row>
    <row r="69" spans="6:14" x14ac:dyDescent="0.25">
      <c r="F69" s="76"/>
      <c r="G69" s="76"/>
      <c r="H69" s="76"/>
      <c r="J69" t="s">
        <v>215</v>
      </c>
      <c r="L69" t="s">
        <v>216</v>
      </c>
      <c r="M69" s="209">
        <v>263253</v>
      </c>
    </row>
    <row r="70" spans="6:14" x14ac:dyDescent="0.25">
      <c r="F70" s="76"/>
      <c r="G70" s="76"/>
      <c r="H70" s="76"/>
      <c r="J70" t="s">
        <v>217</v>
      </c>
      <c r="L70" t="s">
        <v>218</v>
      </c>
      <c r="M70" s="209">
        <v>629928</v>
      </c>
    </row>
    <row r="71" spans="6:14" x14ac:dyDescent="0.25">
      <c r="F71" s="76"/>
      <c r="G71" s="76"/>
      <c r="H71" s="76"/>
      <c r="J71" t="s">
        <v>219</v>
      </c>
      <c r="L71" t="s">
        <v>220</v>
      </c>
      <c r="M71" s="209">
        <f>33977+199626</f>
        <v>233603</v>
      </c>
      <c r="N71" s="204"/>
    </row>
    <row r="72" spans="6:14" x14ac:dyDescent="0.25">
      <c r="F72" s="76"/>
      <c r="G72" s="76"/>
      <c r="H72" s="76"/>
      <c r="J72" t="s">
        <v>219</v>
      </c>
      <c r="L72" t="s">
        <v>220</v>
      </c>
      <c r="M72" s="209">
        <v>131557</v>
      </c>
    </row>
    <row r="73" spans="6:14" x14ac:dyDescent="0.25">
      <c r="F73" s="76"/>
      <c r="G73" s="76"/>
      <c r="H73" s="76"/>
      <c r="J73" t="s">
        <v>221</v>
      </c>
      <c r="L73" t="s">
        <v>222</v>
      </c>
      <c r="M73" s="209">
        <f>2882+6000</f>
        <v>8882</v>
      </c>
      <c r="N73" s="204"/>
    </row>
    <row r="74" spans="6:14" x14ac:dyDescent="0.25">
      <c r="F74" s="76"/>
      <c r="G74" s="76"/>
      <c r="H74" s="76"/>
      <c r="J74" t="s">
        <v>223</v>
      </c>
      <c r="L74" t="s">
        <v>224</v>
      </c>
      <c r="M74" s="209">
        <v>63454</v>
      </c>
      <c r="N74" s="185"/>
    </row>
    <row r="75" spans="6:14" x14ac:dyDescent="0.25">
      <c r="F75" s="76"/>
      <c r="G75" s="76"/>
      <c r="H75" s="76"/>
      <c r="J75" t="s">
        <v>223</v>
      </c>
      <c r="L75" t="s">
        <v>224</v>
      </c>
      <c r="M75" s="209">
        <v>13621</v>
      </c>
      <c r="N75" s="185"/>
    </row>
    <row r="76" spans="6:14" x14ac:dyDescent="0.25">
      <c r="F76" s="76"/>
      <c r="G76" s="76"/>
      <c r="H76" s="76"/>
      <c r="J76" t="s">
        <v>226</v>
      </c>
      <c r="L76" t="s">
        <v>227</v>
      </c>
      <c r="M76" s="209">
        <v>552</v>
      </c>
      <c r="N76" s="185"/>
    </row>
    <row r="77" spans="6:14" x14ac:dyDescent="0.25">
      <c r="F77" s="76"/>
      <c r="G77" s="76"/>
      <c r="H77" s="76"/>
      <c r="J77" t="s">
        <v>226</v>
      </c>
      <c r="L77" t="s">
        <v>227</v>
      </c>
      <c r="M77" s="209">
        <v>7166</v>
      </c>
      <c r="N77" s="185"/>
    </row>
    <row r="78" spans="6:14" x14ac:dyDescent="0.25">
      <c r="F78" s="76"/>
      <c r="G78" s="76"/>
      <c r="H78" s="76"/>
      <c r="J78" t="s">
        <v>226</v>
      </c>
      <c r="L78" t="s">
        <v>227</v>
      </c>
      <c r="M78" s="209">
        <v>16085</v>
      </c>
      <c r="N78" s="185"/>
    </row>
    <row r="79" spans="6:14" x14ac:dyDescent="0.25">
      <c r="F79" s="76"/>
      <c r="G79" s="76"/>
      <c r="H79" s="76"/>
      <c r="J79" t="s">
        <v>230</v>
      </c>
      <c r="L79" t="s">
        <v>231</v>
      </c>
      <c r="M79" s="209">
        <v>6078</v>
      </c>
      <c r="N79" s="185"/>
    </row>
    <row r="80" spans="6:14" x14ac:dyDescent="0.25">
      <c r="F80" s="76"/>
      <c r="G80" s="76"/>
      <c r="H80" s="76"/>
      <c r="J80" t="s">
        <v>230</v>
      </c>
      <c r="L80" t="s">
        <v>231</v>
      </c>
      <c r="M80" s="209">
        <v>46863</v>
      </c>
      <c r="N80" s="185"/>
    </row>
    <row r="81" spans="10:15" x14ac:dyDescent="0.25">
      <c r="J81" t="s">
        <v>298</v>
      </c>
      <c r="L81" t="s">
        <v>231</v>
      </c>
      <c r="M81" s="209">
        <v>30761</v>
      </c>
      <c r="N81" s="185"/>
    </row>
    <row r="82" spans="10:15" x14ac:dyDescent="0.25">
      <c r="J82" t="s">
        <v>233</v>
      </c>
      <c r="L82" t="s">
        <v>234</v>
      </c>
      <c r="M82" s="209">
        <f>21129+2549</f>
        <v>23678</v>
      </c>
      <c r="N82" s="185"/>
      <c r="O82" s="204"/>
    </row>
    <row r="83" spans="10:15" x14ac:dyDescent="0.25">
      <c r="J83" t="s">
        <v>233</v>
      </c>
      <c r="L83" t="s">
        <v>234</v>
      </c>
      <c r="M83" s="209">
        <v>84973</v>
      </c>
      <c r="N83" s="185"/>
    </row>
    <row r="84" spans="10:15" x14ac:dyDescent="0.25">
      <c r="J84" t="s">
        <v>236</v>
      </c>
      <c r="L84" t="s">
        <v>237</v>
      </c>
      <c r="M84" s="209">
        <v>12031</v>
      </c>
    </row>
    <row r="85" spans="10:15" x14ac:dyDescent="0.25">
      <c r="J85" t="s">
        <v>238</v>
      </c>
      <c r="L85" t="s">
        <v>239</v>
      </c>
      <c r="M85" s="209">
        <v>586</v>
      </c>
    </row>
    <row r="86" spans="10:15" x14ac:dyDescent="0.25">
      <c r="J86" t="s">
        <v>213</v>
      </c>
      <c r="L86" t="s">
        <v>214</v>
      </c>
      <c r="M86" s="209">
        <v>18543</v>
      </c>
    </row>
    <row r="87" spans="10:15" x14ac:dyDescent="0.25">
      <c r="J87" t="s">
        <v>212</v>
      </c>
      <c r="L87" t="s">
        <v>211</v>
      </c>
      <c r="M87" s="209">
        <v>2089</v>
      </c>
    </row>
    <row r="88" spans="10:15" x14ac:dyDescent="0.25">
      <c r="J88" t="s">
        <v>240</v>
      </c>
      <c r="L88" t="s">
        <v>241</v>
      </c>
      <c r="M88" s="209">
        <v>20337</v>
      </c>
    </row>
    <row r="89" spans="10:15" x14ac:dyDescent="0.25">
      <c r="J89" t="s">
        <v>215</v>
      </c>
      <c r="L89" t="s">
        <v>216</v>
      </c>
      <c r="M89" s="209">
        <v>27254</v>
      </c>
    </row>
    <row r="90" spans="10:15" x14ac:dyDescent="0.25">
      <c r="J90" t="s">
        <v>296</v>
      </c>
      <c r="L90" t="s">
        <v>251</v>
      </c>
      <c r="M90" s="209">
        <v>24982</v>
      </c>
    </row>
    <row r="91" spans="10:15" x14ac:dyDescent="0.25">
      <c r="J91" t="s">
        <v>217</v>
      </c>
      <c r="L91" t="s">
        <v>218</v>
      </c>
      <c r="M91" s="209">
        <v>17959</v>
      </c>
    </row>
    <row r="92" spans="10:15" x14ac:dyDescent="0.25">
      <c r="M92" s="80">
        <f>SUM(M66:M91)</f>
        <v>1928629</v>
      </c>
    </row>
  </sheetData>
  <autoFilter ref="B3:J63" xr:uid="{AD437713-0956-4FB3-A117-41ED94AB2F1B}">
    <filterColumn colId="1">
      <filters>
        <filter val="9301"/>
      </filters>
    </filterColumn>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4110C-5E23-484D-9D84-F1A9B7427A36}">
  <dimension ref="A1:L83"/>
  <sheetViews>
    <sheetView topLeftCell="A40" workbookViewId="0">
      <selection activeCell="H59" sqref="H59"/>
    </sheetView>
  </sheetViews>
  <sheetFormatPr defaultColWidth="11.42578125" defaultRowHeight="15" x14ac:dyDescent="0.25"/>
  <cols>
    <col min="3" max="3" width="26.85546875" customWidth="1"/>
    <col min="4" max="5" width="15.140625" style="52" bestFit="1" customWidth="1"/>
    <col min="6" max="6" width="16.7109375" style="52" customWidth="1"/>
    <col min="9" max="9" width="20.42578125" customWidth="1"/>
    <col min="11" max="11" width="12.5703125" style="52" bestFit="1" customWidth="1"/>
  </cols>
  <sheetData>
    <row r="1" spans="1:8" x14ac:dyDescent="0.25">
      <c r="A1" t="s">
        <v>155</v>
      </c>
    </row>
    <row r="3" spans="1:8" x14ac:dyDescent="0.25">
      <c r="A3" t="s">
        <v>150</v>
      </c>
      <c r="B3" t="s">
        <v>151</v>
      </c>
      <c r="D3" s="52" t="s">
        <v>153</v>
      </c>
      <c r="E3" s="52" t="s">
        <v>154</v>
      </c>
      <c r="F3" s="52" t="s">
        <v>122</v>
      </c>
    </row>
    <row r="4" spans="1:8" x14ac:dyDescent="0.25">
      <c r="A4">
        <v>2390</v>
      </c>
      <c r="B4" t="s">
        <v>152</v>
      </c>
      <c r="D4" s="52">
        <v>60248</v>
      </c>
      <c r="E4" s="52">
        <v>0</v>
      </c>
      <c r="F4" s="52">
        <f>D4-E4</f>
        <v>60248</v>
      </c>
    </row>
    <row r="5" spans="1:8" x14ac:dyDescent="0.25">
      <c r="A5">
        <v>9050</v>
      </c>
      <c r="B5" t="s">
        <v>156</v>
      </c>
      <c r="D5" s="52">
        <v>1166012</v>
      </c>
      <c r="E5" s="52">
        <f>332500</f>
        <v>332500</v>
      </c>
      <c r="F5" s="52">
        <f>D5-E5</f>
        <v>833512</v>
      </c>
      <c r="G5" t="s">
        <v>249</v>
      </c>
      <c r="H5" t="s">
        <v>242</v>
      </c>
    </row>
    <row r="6" spans="1:8" x14ac:dyDescent="0.25">
      <c r="A6">
        <v>9053</v>
      </c>
      <c r="B6" t="s">
        <v>207</v>
      </c>
      <c r="D6" s="52">
        <v>150566</v>
      </c>
      <c r="F6" s="52">
        <f>D6-E6</f>
        <v>150566</v>
      </c>
    </row>
    <row r="7" spans="1:8" x14ac:dyDescent="0.25">
      <c r="A7">
        <v>2020</v>
      </c>
      <c r="B7" t="s">
        <v>157</v>
      </c>
      <c r="D7" s="52">
        <v>28020</v>
      </c>
      <c r="F7" s="52">
        <f t="shared" ref="F7:F58" si="0">D7-E7</f>
        <v>28020</v>
      </c>
    </row>
    <row r="8" spans="1:8" x14ac:dyDescent="0.25">
      <c r="A8">
        <v>2042</v>
      </c>
      <c r="B8" t="s">
        <v>158</v>
      </c>
      <c r="D8" s="52">
        <v>6869</v>
      </c>
      <c r="E8" s="52">
        <v>6869</v>
      </c>
      <c r="F8" s="52">
        <f t="shared" si="0"/>
        <v>0</v>
      </c>
      <c r="G8" t="s">
        <v>239</v>
      </c>
    </row>
    <row r="9" spans="1:8" x14ac:dyDescent="0.25">
      <c r="A9">
        <v>2625</v>
      </c>
      <c r="B9" t="s">
        <v>159</v>
      </c>
      <c r="D9" s="52">
        <v>477489</v>
      </c>
      <c r="E9" s="52">
        <f>477489+40713</f>
        <v>518202</v>
      </c>
      <c r="F9" s="52">
        <f t="shared" si="0"/>
        <v>-40713</v>
      </c>
      <c r="G9" t="s">
        <v>247</v>
      </c>
      <c r="H9" s="185" t="s">
        <v>257</v>
      </c>
    </row>
    <row r="10" spans="1:8" x14ac:dyDescent="0.25">
      <c r="A10">
        <v>2632</v>
      </c>
      <c r="B10" t="s">
        <v>160</v>
      </c>
      <c r="D10" s="52">
        <v>14972</v>
      </c>
      <c r="E10" s="52">
        <f>14972+1277</f>
        <v>16249</v>
      </c>
      <c r="F10" s="52">
        <f t="shared" si="0"/>
        <v>-1277</v>
      </c>
      <c r="G10" t="s">
        <v>248</v>
      </c>
      <c r="H10" s="185" t="s">
        <v>257</v>
      </c>
    </row>
    <row r="11" spans="1:8" x14ac:dyDescent="0.25">
      <c r="A11">
        <v>2370</v>
      </c>
      <c r="B11" t="s">
        <v>161</v>
      </c>
      <c r="D11" s="52">
        <v>1592050</v>
      </c>
      <c r="E11" s="52">
        <f>1592050</f>
        <v>1592050</v>
      </c>
      <c r="F11" s="52">
        <f t="shared" si="0"/>
        <v>0</v>
      </c>
      <c r="G11" t="s">
        <v>246</v>
      </c>
      <c r="H11" s="185" t="s">
        <v>228</v>
      </c>
    </row>
    <row r="12" spans="1:8" x14ac:dyDescent="0.25">
      <c r="A12">
        <v>2360</v>
      </c>
      <c r="B12" t="s">
        <v>162</v>
      </c>
      <c r="D12" s="52">
        <v>318539</v>
      </c>
      <c r="E12" s="52">
        <f>276420+23569</f>
        <v>299989</v>
      </c>
      <c r="F12" s="52">
        <f t="shared" si="0"/>
        <v>18550</v>
      </c>
      <c r="G12" t="s">
        <v>245</v>
      </c>
      <c r="H12" s="185" t="s">
        <v>257</v>
      </c>
    </row>
    <row r="13" spans="1:8" x14ac:dyDescent="0.25">
      <c r="A13">
        <v>2685</v>
      </c>
      <c r="B13" t="s">
        <v>163</v>
      </c>
      <c r="D13" s="52">
        <v>89863</v>
      </c>
      <c r="E13" s="52">
        <f>89863</f>
        <v>89863</v>
      </c>
      <c r="F13" s="52">
        <f t="shared" si="0"/>
        <v>0</v>
      </c>
      <c r="G13" t="s">
        <v>237</v>
      </c>
    </row>
    <row r="14" spans="1:8" x14ac:dyDescent="0.25">
      <c r="A14">
        <v>2280</v>
      </c>
      <c r="B14" t="s">
        <v>164</v>
      </c>
      <c r="D14" s="52">
        <v>8576548</v>
      </c>
      <c r="E14" s="52">
        <v>8576548</v>
      </c>
      <c r="F14" s="52">
        <f t="shared" si="0"/>
        <v>0</v>
      </c>
      <c r="G14" t="s">
        <v>258</v>
      </c>
    </row>
    <row r="15" spans="1:8" x14ac:dyDescent="0.25">
      <c r="A15">
        <v>2285</v>
      </c>
      <c r="B15" t="s">
        <v>165</v>
      </c>
      <c r="D15" s="52">
        <v>169373</v>
      </c>
      <c r="F15" s="52">
        <f t="shared" si="0"/>
        <v>169373</v>
      </c>
    </row>
    <row r="16" spans="1:8" x14ac:dyDescent="0.25">
      <c r="A16">
        <v>2355</v>
      </c>
      <c r="B16" t="s">
        <v>166</v>
      </c>
      <c r="D16" s="52">
        <v>510193</v>
      </c>
      <c r="F16" s="52">
        <f t="shared" si="0"/>
        <v>510193</v>
      </c>
    </row>
    <row r="17" spans="1:8" x14ac:dyDescent="0.25">
      <c r="A17" s="184">
        <v>2365</v>
      </c>
      <c r="B17" s="184" t="s">
        <v>167</v>
      </c>
      <c r="C17" s="184"/>
      <c r="D17" s="183">
        <v>302315</v>
      </c>
      <c r="E17" s="183"/>
      <c r="F17" s="183">
        <f t="shared" si="0"/>
        <v>302315</v>
      </c>
      <c r="G17" t="s">
        <v>244</v>
      </c>
    </row>
    <row r="18" spans="1:8" x14ac:dyDescent="0.25">
      <c r="A18" s="184">
        <v>2540</v>
      </c>
      <c r="B18" s="184" t="s">
        <v>168</v>
      </c>
      <c r="C18" s="184"/>
      <c r="D18" s="183">
        <v>1152865</v>
      </c>
      <c r="E18" s="183"/>
      <c r="F18" s="183">
        <f t="shared" si="0"/>
        <v>1152865</v>
      </c>
      <c r="G18" t="s">
        <v>261</v>
      </c>
    </row>
    <row r="19" spans="1:8" x14ac:dyDescent="0.25">
      <c r="A19">
        <v>3257</v>
      </c>
      <c r="B19" t="s">
        <v>169</v>
      </c>
      <c r="D19" s="52">
        <v>52396</v>
      </c>
      <c r="E19" s="52">
        <v>52396</v>
      </c>
      <c r="F19" s="52">
        <f t="shared" si="0"/>
        <v>0</v>
      </c>
      <c r="G19" t="s">
        <v>227</v>
      </c>
      <c r="H19" s="185" t="s">
        <v>255</v>
      </c>
    </row>
    <row r="20" spans="1:8" x14ac:dyDescent="0.25">
      <c r="A20">
        <v>3260</v>
      </c>
      <c r="B20" t="s">
        <v>170</v>
      </c>
      <c r="D20" s="52">
        <v>36272</v>
      </c>
      <c r="E20" s="52">
        <v>36272</v>
      </c>
      <c r="F20" s="52">
        <f t="shared" si="0"/>
        <v>0</v>
      </c>
      <c r="G20" t="s">
        <v>227</v>
      </c>
      <c r="H20" s="185" t="s">
        <v>254</v>
      </c>
    </row>
    <row r="21" spans="1:8" x14ac:dyDescent="0.25">
      <c r="A21">
        <v>9000</v>
      </c>
      <c r="B21" t="s">
        <v>171</v>
      </c>
      <c r="D21" s="52">
        <v>178863</v>
      </c>
      <c r="E21" s="52">
        <f>5210+173653</f>
        <v>178863</v>
      </c>
      <c r="F21" s="52">
        <f t="shared" si="0"/>
        <v>0</v>
      </c>
      <c r="G21" t="s">
        <v>251</v>
      </c>
    </row>
    <row r="22" spans="1:8" x14ac:dyDescent="0.25">
      <c r="A22">
        <v>9051</v>
      </c>
      <c r="B22" t="s">
        <v>172</v>
      </c>
      <c r="D22" s="52">
        <v>13238</v>
      </c>
      <c r="F22" s="52">
        <f t="shared" si="0"/>
        <v>13238</v>
      </c>
    </row>
    <row r="23" spans="1:8" x14ac:dyDescent="0.25">
      <c r="A23">
        <v>9070</v>
      </c>
      <c r="B23" t="s">
        <v>173</v>
      </c>
      <c r="D23" s="52">
        <v>86013</v>
      </c>
      <c r="E23" s="52">
        <v>86013</v>
      </c>
      <c r="F23" s="52">
        <f t="shared" si="0"/>
        <v>0</v>
      </c>
      <c r="G23" t="s">
        <v>231</v>
      </c>
      <c r="H23" s="185" t="s">
        <v>254</v>
      </c>
    </row>
    <row r="24" spans="1:8" x14ac:dyDescent="0.25">
      <c r="A24">
        <v>9071</v>
      </c>
      <c r="B24" t="s">
        <v>174</v>
      </c>
      <c r="D24" s="52">
        <v>7880</v>
      </c>
      <c r="E24" s="52">
        <v>7880</v>
      </c>
      <c r="F24" s="52">
        <f t="shared" si="0"/>
        <v>0</v>
      </c>
      <c r="G24" t="s">
        <v>231</v>
      </c>
      <c r="H24" s="185" t="s">
        <v>229</v>
      </c>
    </row>
    <row r="25" spans="1:8" x14ac:dyDescent="0.25">
      <c r="A25">
        <v>9075</v>
      </c>
      <c r="B25" t="s">
        <v>175</v>
      </c>
      <c r="D25" s="52">
        <v>11744</v>
      </c>
      <c r="F25" s="52">
        <f t="shared" si="0"/>
        <v>11744</v>
      </c>
    </row>
    <row r="26" spans="1:8" x14ac:dyDescent="0.25">
      <c r="A26">
        <v>9080</v>
      </c>
      <c r="B26" t="s">
        <v>176</v>
      </c>
      <c r="D26" s="52">
        <v>1090521</v>
      </c>
      <c r="F26" s="183">
        <f t="shared" si="0"/>
        <v>1090521</v>
      </c>
    </row>
    <row r="27" spans="1:8" x14ac:dyDescent="0.25">
      <c r="A27">
        <v>9100</v>
      </c>
      <c r="B27" t="s">
        <v>177</v>
      </c>
      <c r="D27" s="52">
        <v>67498</v>
      </c>
      <c r="F27" s="52">
        <f t="shared" si="0"/>
        <v>67498</v>
      </c>
    </row>
    <row r="28" spans="1:8" x14ac:dyDescent="0.25">
      <c r="A28">
        <v>9105</v>
      </c>
      <c r="B28" t="s">
        <v>178</v>
      </c>
      <c r="D28" s="52">
        <v>138832</v>
      </c>
      <c r="F28" s="52">
        <f t="shared" si="0"/>
        <v>138832</v>
      </c>
      <c r="G28" t="s">
        <v>208</v>
      </c>
    </row>
    <row r="29" spans="1:8" x14ac:dyDescent="0.25">
      <c r="A29">
        <v>9106</v>
      </c>
      <c r="B29" t="s">
        <v>179</v>
      </c>
      <c r="D29" s="52">
        <v>26006</v>
      </c>
      <c r="E29" s="52">
        <v>26006</v>
      </c>
      <c r="F29" s="52">
        <f t="shared" si="0"/>
        <v>0</v>
      </c>
      <c r="G29" t="s">
        <v>224</v>
      </c>
      <c r="H29" s="185" t="s">
        <v>253</v>
      </c>
    </row>
    <row r="30" spans="1:8" x14ac:dyDescent="0.25">
      <c r="A30">
        <v>9107</v>
      </c>
      <c r="B30" t="s">
        <v>180</v>
      </c>
      <c r="D30" s="52">
        <v>1904</v>
      </c>
      <c r="E30" s="52">
        <v>1904</v>
      </c>
      <c r="F30" s="52">
        <f t="shared" si="0"/>
        <v>0</v>
      </c>
      <c r="G30" t="s">
        <v>224</v>
      </c>
      <c r="H30" s="185" t="s">
        <v>228</v>
      </c>
    </row>
    <row r="31" spans="1:8" x14ac:dyDescent="0.25">
      <c r="A31">
        <v>9275</v>
      </c>
      <c r="B31" t="s">
        <v>181</v>
      </c>
      <c r="D31" s="52">
        <v>18052</v>
      </c>
      <c r="E31" s="52">
        <v>18052</v>
      </c>
      <c r="F31" s="52">
        <f t="shared" si="0"/>
        <v>0</v>
      </c>
      <c r="G31" t="s">
        <v>227</v>
      </c>
      <c r="H31" s="185" t="s">
        <v>232</v>
      </c>
    </row>
    <row r="32" spans="1:8" x14ac:dyDescent="0.25">
      <c r="A32">
        <v>9300</v>
      </c>
      <c r="B32" t="s">
        <v>182</v>
      </c>
      <c r="D32" s="52">
        <v>339811</v>
      </c>
      <c r="F32" s="52">
        <f t="shared" si="0"/>
        <v>339811</v>
      </c>
    </row>
    <row r="33" spans="1:8" x14ac:dyDescent="0.25">
      <c r="A33" t="s">
        <v>186</v>
      </c>
      <c r="B33" t="s">
        <v>59</v>
      </c>
      <c r="D33" s="52">
        <f>769125+17000</f>
        <v>786125</v>
      </c>
      <c r="E33" s="52">
        <f>525000</f>
        <v>525000</v>
      </c>
      <c r="F33" s="52">
        <f t="shared" si="0"/>
        <v>261125</v>
      </c>
      <c r="G33" t="s">
        <v>259</v>
      </c>
      <c r="H33" t="s">
        <v>148</v>
      </c>
    </row>
    <row r="34" spans="1:8" x14ac:dyDescent="0.25">
      <c r="A34">
        <v>9317</v>
      </c>
      <c r="B34" t="s">
        <v>59</v>
      </c>
      <c r="D34" s="52">
        <v>17000</v>
      </c>
      <c r="E34" s="52">
        <v>17000</v>
      </c>
      <c r="F34" s="52">
        <f t="shared" si="0"/>
        <v>0</v>
      </c>
      <c r="G34" t="s">
        <v>260</v>
      </c>
      <c r="H34" t="s">
        <v>148</v>
      </c>
    </row>
    <row r="35" spans="1:8" x14ac:dyDescent="0.25">
      <c r="A35">
        <v>9302</v>
      </c>
      <c r="B35" t="s">
        <v>183</v>
      </c>
      <c r="D35" s="52">
        <v>1242851</v>
      </c>
      <c r="E35" s="52">
        <v>1242851</v>
      </c>
      <c r="F35" s="52">
        <f t="shared" si="0"/>
        <v>0</v>
      </c>
      <c r="G35" t="s">
        <v>256</v>
      </c>
    </row>
    <row r="36" spans="1:8" x14ac:dyDescent="0.25">
      <c r="A36">
        <v>9307</v>
      </c>
      <c r="B36" t="s">
        <v>184</v>
      </c>
      <c r="D36" s="52">
        <v>19123</v>
      </c>
      <c r="E36" s="52">
        <v>19123</v>
      </c>
      <c r="F36" s="52">
        <f t="shared" si="0"/>
        <v>0</v>
      </c>
      <c r="G36" t="s">
        <v>252</v>
      </c>
    </row>
    <row r="37" spans="1:8" x14ac:dyDescent="0.25">
      <c r="A37">
        <v>9315</v>
      </c>
      <c r="B37" t="s">
        <v>185</v>
      </c>
      <c r="D37" s="52">
        <v>13367</v>
      </c>
      <c r="F37" s="52">
        <f t="shared" si="0"/>
        <v>13367</v>
      </c>
    </row>
    <row r="38" spans="1:8" x14ac:dyDescent="0.25">
      <c r="A38">
        <v>9320</v>
      </c>
      <c r="B38" t="s">
        <v>187</v>
      </c>
      <c r="D38" s="52">
        <v>30000</v>
      </c>
      <c r="E38" s="52">
        <v>30000</v>
      </c>
      <c r="F38" s="52">
        <f t="shared" si="0"/>
        <v>0</v>
      </c>
      <c r="G38" t="s">
        <v>250</v>
      </c>
      <c r="H38" t="s">
        <v>243</v>
      </c>
    </row>
    <row r="39" spans="1:8" x14ac:dyDescent="0.25">
      <c r="A39">
        <v>9400</v>
      </c>
      <c r="B39" t="s">
        <v>188</v>
      </c>
      <c r="D39" s="52">
        <v>61871</v>
      </c>
      <c r="E39" s="52">
        <v>61871</v>
      </c>
      <c r="F39" s="52">
        <f t="shared" si="0"/>
        <v>0</v>
      </c>
      <c r="G39" t="s">
        <v>231</v>
      </c>
      <c r="H39" s="185" t="s">
        <v>255</v>
      </c>
    </row>
    <row r="40" spans="1:8" x14ac:dyDescent="0.25">
      <c r="A40">
        <v>9401</v>
      </c>
      <c r="B40" t="s">
        <v>189</v>
      </c>
      <c r="D40" s="52">
        <v>87177</v>
      </c>
      <c r="F40" s="52">
        <f t="shared" si="0"/>
        <v>87177</v>
      </c>
    </row>
    <row r="41" spans="1:8" x14ac:dyDescent="0.25">
      <c r="A41">
        <v>9450</v>
      </c>
      <c r="B41" t="s">
        <v>190</v>
      </c>
      <c r="D41" s="52">
        <v>80000</v>
      </c>
      <c r="F41" s="52">
        <f t="shared" si="0"/>
        <v>80000</v>
      </c>
    </row>
    <row r="42" spans="1:8" x14ac:dyDescent="0.25">
      <c r="A42">
        <v>2512</v>
      </c>
      <c r="B42" t="s">
        <v>191</v>
      </c>
      <c r="D42" s="52">
        <v>36614</v>
      </c>
      <c r="F42" s="52">
        <f t="shared" si="0"/>
        <v>36614</v>
      </c>
    </row>
    <row r="43" spans="1:8" x14ac:dyDescent="0.25">
      <c r="A43">
        <v>2513</v>
      </c>
      <c r="B43" t="s">
        <v>192</v>
      </c>
      <c r="D43" s="52">
        <v>96887</v>
      </c>
      <c r="F43" s="52">
        <f t="shared" si="0"/>
        <v>96887</v>
      </c>
    </row>
    <row r="44" spans="1:8" x14ac:dyDescent="0.25">
      <c r="A44">
        <v>2514</v>
      </c>
      <c r="B44" t="s">
        <v>193</v>
      </c>
      <c r="D44" s="52">
        <v>48694</v>
      </c>
      <c r="F44" s="52">
        <f t="shared" si="0"/>
        <v>48694</v>
      </c>
    </row>
    <row r="45" spans="1:8" x14ac:dyDescent="0.25">
      <c r="A45">
        <v>2517</v>
      </c>
      <c r="B45" t="s">
        <v>194</v>
      </c>
      <c r="D45" s="52">
        <v>151900</v>
      </c>
      <c r="E45" s="52">
        <f>151900</f>
        <v>151900</v>
      </c>
      <c r="F45" s="52">
        <f t="shared" si="0"/>
        <v>0</v>
      </c>
      <c r="G45" t="s">
        <v>241</v>
      </c>
    </row>
    <row r="46" spans="1:8" x14ac:dyDescent="0.25">
      <c r="A46">
        <v>2518</v>
      </c>
      <c r="B46" t="s">
        <v>195</v>
      </c>
      <c r="D46" s="52">
        <v>487170</v>
      </c>
      <c r="F46" s="52">
        <f t="shared" si="0"/>
        <v>487170</v>
      </c>
    </row>
    <row r="47" spans="1:8" x14ac:dyDescent="0.25">
      <c r="A47">
        <v>2521</v>
      </c>
      <c r="B47" t="s">
        <v>196</v>
      </c>
      <c r="D47" s="52">
        <v>28222</v>
      </c>
      <c r="F47" s="52">
        <f t="shared" si="0"/>
        <v>28222</v>
      </c>
    </row>
    <row r="48" spans="1:8" x14ac:dyDescent="0.25">
      <c r="A48" s="184" t="s">
        <v>197</v>
      </c>
      <c r="B48" s="184"/>
      <c r="C48" s="184"/>
      <c r="D48" s="183"/>
      <c r="E48" s="183"/>
      <c r="F48" s="183">
        <f t="shared" si="0"/>
        <v>0</v>
      </c>
    </row>
    <row r="49" spans="1:11" x14ac:dyDescent="0.25">
      <c r="A49">
        <v>4235</v>
      </c>
      <c r="B49" t="s">
        <v>198</v>
      </c>
      <c r="D49" s="52">
        <v>182832</v>
      </c>
      <c r="F49" s="52">
        <f t="shared" si="0"/>
        <v>182832</v>
      </c>
    </row>
    <row r="50" spans="1:11" x14ac:dyDescent="0.25">
      <c r="A50">
        <v>8200</v>
      </c>
      <c r="B50" t="s">
        <v>199</v>
      </c>
      <c r="D50" s="52">
        <v>29394</v>
      </c>
      <c r="F50" s="52">
        <f t="shared" si="0"/>
        <v>29394</v>
      </c>
    </row>
    <row r="51" spans="1:11" x14ac:dyDescent="0.25">
      <c r="A51">
        <v>8769</v>
      </c>
      <c r="B51" t="s">
        <v>200</v>
      </c>
      <c r="D51" s="52">
        <v>58248</v>
      </c>
      <c r="F51" s="52">
        <f t="shared" si="0"/>
        <v>58248</v>
      </c>
    </row>
    <row r="52" spans="1:11" x14ac:dyDescent="0.25">
      <c r="A52">
        <v>8999</v>
      </c>
      <c r="B52" t="s">
        <v>201</v>
      </c>
      <c r="D52" s="52">
        <v>277000</v>
      </c>
      <c r="F52" s="52">
        <f t="shared" si="0"/>
        <v>277000</v>
      </c>
    </row>
    <row r="53" spans="1:11" x14ac:dyDescent="0.25">
      <c r="A53">
        <v>2480</v>
      </c>
      <c r="B53" t="s">
        <v>202</v>
      </c>
      <c r="D53" s="52">
        <v>13400</v>
      </c>
      <c r="F53" s="52">
        <f t="shared" si="0"/>
        <v>13400</v>
      </c>
    </row>
    <row r="54" spans="1:11" x14ac:dyDescent="0.25">
      <c r="A54">
        <v>2511</v>
      </c>
      <c r="B54" t="s">
        <v>203</v>
      </c>
      <c r="D54" s="52">
        <v>24759</v>
      </c>
      <c r="F54" s="52">
        <f t="shared" si="0"/>
        <v>24759</v>
      </c>
    </row>
    <row r="55" spans="1:11" x14ac:dyDescent="0.25">
      <c r="A55">
        <v>2520</v>
      </c>
      <c r="B55" t="s">
        <v>204</v>
      </c>
      <c r="D55" s="52">
        <v>14400</v>
      </c>
      <c r="F55" s="52">
        <f t="shared" si="0"/>
        <v>14400</v>
      </c>
    </row>
    <row r="56" spans="1:11" x14ac:dyDescent="0.25">
      <c r="A56">
        <v>2401</v>
      </c>
      <c r="B56" t="s">
        <v>205</v>
      </c>
      <c r="D56" s="52">
        <v>135743</v>
      </c>
      <c r="E56" s="52">
        <v>135743</v>
      </c>
      <c r="F56" s="52">
        <f t="shared" si="0"/>
        <v>0</v>
      </c>
      <c r="G56" t="s">
        <v>246</v>
      </c>
      <c r="H56" s="185" t="s">
        <v>235</v>
      </c>
    </row>
    <row r="57" spans="1:11" x14ac:dyDescent="0.25">
      <c r="A57">
        <v>2573</v>
      </c>
      <c r="B57" t="s">
        <v>265</v>
      </c>
      <c r="D57" s="52">
        <v>405926</v>
      </c>
      <c r="F57" s="52">
        <f t="shared" si="0"/>
        <v>405926</v>
      </c>
      <c r="H57" s="185"/>
    </row>
    <row r="58" spans="1:11" x14ac:dyDescent="0.25">
      <c r="A58">
        <v>2581</v>
      </c>
      <c r="B58" t="s">
        <v>206</v>
      </c>
      <c r="D58" s="52">
        <v>28739</v>
      </c>
      <c r="F58" s="52">
        <f t="shared" si="0"/>
        <v>28739</v>
      </c>
    </row>
    <row r="59" spans="1:11" x14ac:dyDescent="0.25">
      <c r="E59" s="52">
        <f>SUM(E4:E58)</f>
        <v>14023144</v>
      </c>
    </row>
    <row r="62" spans="1:11" x14ac:dyDescent="0.25">
      <c r="H62" t="s">
        <v>212</v>
      </c>
      <c r="J62" t="s">
        <v>211</v>
      </c>
      <c r="K62" s="52">
        <v>15600</v>
      </c>
    </row>
    <row r="63" spans="1:11" x14ac:dyDescent="0.25">
      <c r="H63" t="s">
        <v>213</v>
      </c>
      <c r="J63" t="s">
        <v>214</v>
      </c>
      <c r="K63" s="52">
        <v>138500</v>
      </c>
    </row>
    <row r="64" spans="1:11" x14ac:dyDescent="0.25">
      <c r="H64" t="s">
        <v>215</v>
      </c>
      <c r="J64" t="s">
        <v>216</v>
      </c>
      <c r="K64" s="52">
        <v>203557</v>
      </c>
    </row>
    <row r="65" spans="8:12" x14ac:dyDescent="0.25">
      <c r="H65" t="s">
        <v>217</v>
      </c>
      <c r="J65" t="s">
        <v>218</v>
      </c>
      <c r="K65" s="52">
        <v>629928</v>
      </c>
    </row>
    <row r="66" spans="8:12" x14ac:dyDescent="0.25">
      <c r="H66" t="s">
        <v>219</v>
      </c>
      <c r="J66" t="s">
        <v>220</v>
      </c>
      <c r="K66" s="52">
        <f>9299</f>
        <v>9299</v>
      </c>
    </row>
    <row r="67" spans="8:12" x14ac:dyDescent="0.25">
      <c r="H67" t="s">
        <v>219</v>
      </c>
      <c r="J67" t="s">
        <v>220</v>
      </c>
      <c r="K67" s="52">
        <v>131557</v>
      </c>
    </row>
    <row r="68" spans="8:12" x14ac:dyDescent="0.25">
      <c r="H68" t="s">
        <v>221</v>
      </c>
      <c r="J68" t="s">
        <v>222</v>
      </c>
      <c r="K68" s="52">
        <v>6000</v>
      </c>
    </row>
    <row r="69" spans="8:12" x14ac:dyDescent="0.25">
      <c r="H69" t="s">
        <v>223</v>
      </c>
      <c r="J69" t="s">
        <v>224</v>
      </c>
      <c r="K69" s="52">
        <v>63454</v>
      </c>
      <c r="L69" s="185" t="s">
        <v>225</v>
      </c>
    </row>
    <row r="70" spans="8:12" x14ac:dyDescent="0.25">
      <c r="H70" t="s">
        <v>226</v>
      </c>
      <c r="J70" t="s">
        <v>227</v>
      </c>
      <c r="K70" s="52">
        <v>552</v>
      </c>
      <c r="L70" s="185" t="s">
        <v>228</v>
      </c>
    </row>
    <row r="71" spans="8:12" x14ac:dyDescent="0.25">
      <c r="H71" t="s">
        <v>226</v>
      </c>
      <c r="J71" t="s">
        <v>227</v>
      </c>
      <c r="K71" s="52">
        <v>7166</v>
      </c>
      <c r="L71" s="185" t="s">
        <v>229</v>
      </c>
    </row>
    <row r="72" spans="8:12" x14ac:dyDescent="0.25">
      <c r="H72" t="s">
        <v>230</v>
      </c>
      <c r="J72" t="s">
        <v>231</v>
      </c>
      <c r="K72" s="52">
        <v>6078</v>
      </c>
      <c r="L72" s="185" t="s">
        <v>228</v>
      </c>
    </row>
    <row r="73" spans="8:12" x14ac:dyDescent="0.25">
      <c r="H73" t="s">
        <v>230</v>
      </c>
      <c r="J73" t="s">
        <v>231</v>
      </c>
      <c r="K73" s="52">
        <v>46863</v>
      </c>
      <c r="L73" s="185" t="s">
        <v>232</v>
      </c>
    </row>
    <row r="74" spans="8:12" x14ac:dyDescent="0.25">
      <c r="H74" t="s">
        <v>233</v>
      </c>
      <c r="J74" t="s">
        <v>234</v>
      </c>
      <c r="K74" s="52">
        <v>2549</v>
      </c>
      <c r="L74" s="185" t="s">
        <v>228</v>
      </c>
    </row>
    <row r="75" spans="8:12" x14ac:dyDescent="0.25">
      <c r="H75" t="s">
        <v>233</v>
      </c>
      <c r="J75" t="s">
        <v>234</v>
      </c>
      <c r="K75" s="52">
        <v>84973</v>
      </c>
      <c r="L75" s="185" t="s">
        <v>235</v>
      </c>
    </row>
    <row r="76" spans="8:12" x14ac:dyDescent="0.25">
      <c r="H76" t="s">
        <v>236</v>
      </c>
      <c r="J76" t="s">
        <v>237</v>
      </c>
      <c r="K76" s="52">
        <v>7662</v>
      </c>
    </row>
    <row r="77" spans="8:12" x14ac:dyDescent="0.25">
      <c r="H77" t="s">
        <v>238</v>
      </c>
      <c r="J77" t="s">
        <v>239</v>
      </c>
      <c r="K77" s="52">
        <v>586</v>
      </c>
    </row>
    <row r="78" spans="8:12" x14ac:dyDescent="0.25">
      <c r="H78" t="s">
        <v>213</v>
      </c>
      <c r="J78" t="s">
        <v>214</v>
      </c>
      <c r="K78" s="52">
        <v>11809</v>
      </c>
    </row>
    <row r="79" spans="8:12" x14ac:dyDescent="0.25">
      <c r="H79" t="s">
        <v>212</v>
      </c>
      <c r="J79" t="s">
        <v>211</v>
      </c>
      <c r="K79" s="52">
        <v>1330</v>
      </c>
    </row>
    <row r="80" spans="8:12" x14ac:dyDescent="0.25">
      <c r="H80" t="s">
        <v>240</v>
      </c>
      <c r="J80" t="s">
        <v>241</v>
      </c>
      <c r="K80" s="52">
        <v>12951</v>
      </c>
    </row>
    <row r="81" spans="8:11" x14ac:dyDescent="0.25">
      <c r="H81" t="s">
        <v>215</v>
      </c>
      <c r="J81" t="s">
        <v>216</v>
      </c>
      <c r="K81" s="52">
        <v>17356</v>
      </c>
    </row>
    <row r="82" spans="8:11" x14ac:dyDescent="0.25">
      <c r="H82" t="s">
        <v>217</v>
      </c>
      <c r="J82" t="s">
        <v>218</v>
      </c>
      <c r="K82" s="52">
        <v>11437</v>
      </c>
    </row>
    <row r="83" spans="8:11" x14ac:dyDescent="0.25">
      <c r="K83" s="80">
        <f>SUM(K62:K82)</f>
        <v>1409207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5 YR FP - NATURE</vt:lpstr>
      <vt:lpstr>5 YR FP - DEPT</vt:lpstr>
      <vt:lpstr>2025-26 Annual Budget</vt:lpstr>
      <vt:lpstr>5Y - ISC agreement follow</vt:lpstr>
      <vt:lpstr>Budget adjustments</vt:lpstr>
      <vt:lpstr>Écarts budget vs Entente 25-26</vt:lpstr>
      <vt:lpstr>Écarts budget vs Entente 24-25</vt:lpstr>
      <vt:lpstr>Écarts budget vs Entente 23-24</vt:lpstr>
      <vt:lpstr>'2025-26 Annual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Mindy</dc:creator>
  <cp:lastModifiedBy>Long Point FN-2</cp:lastModifiedBy>
  <cp:lastPrinted>2016-11-14T22:55:45Z</cp:lastPrinted>
  <dcterms:created xsi:type="dcterms:W3CDTF">2016-09-21T13:13:52Z</dcterms:created>
  <dcterms:modified xsi:type="dcterms:W3CDTF">2025-04-30T19:59:06Z</dcterms:modified>
</cp:coreProperties>
</file>